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aced4a89621b6b2b/Documentos/CAPITAL MARKET/Año 2026/SIV/"/>
    </mc:Choice>
  </mc:AlternateContent>
  <xr:revisionPtr revIDLastSave="124" documentId="8_{52ACB159-4F87-489D-B695-DFE61E807C1B}" xr6:coauthVersionLast="47" xr6:coauthVersionMax="47" xr10:uidLastSave="{EFB356A3-2699-4A59-A3CB-AEDA0FE600B2}"/>
  <bookViews>
    <workbookView xWindow="-120" yWindow="-120" windowWidth="24240" windowHeight="13020" tabRatio="500" firstSheet="1" activeTab="1" xr2:uid="{00000000-000D-0000-FFFF-FFFF00000000}"/>
  </bookViews>
  <sheets>
    <sheet name="CARATULA " sheetId="1" r:id="rId1"/>
    <sheet name="Balance General" sheetId="2" r:id="rId2"/>
    <sheet name="Estado de Resultados" sheetId="3" r:id="rId3"/>
    <sheet name="Variación PN" sheetId="4" r:id="rId4"/>
    <sheet name="Flujo de Efectivo" sheetId="5" r:id="rId5"/>
    <sheet name="Notas a los EEFF" sheetId="6" r:id="rId6"/>
  </sheets>
  <definedNames>
    <definedName name="_xlnm._FilterDatabase" localSheetId="5" hidden="1">'Notas a los EEFF'!$B$120:$B$181</definedName>
    <definedName name="_Hlk47006462" localSheetId="1">'Balance General'!#REF!</definedName>
    <definedName name="_xlnm.Print_Area" localSheetId="5">'Notas a los EEFF'!$A$1:$B$39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67" i="2" l="1"/>
  <c r="G64" i="2"/>
  <c r="F64" i="2"/>
  <c r="D32" i="5"/>
  <c r="D39" i="5"/>
  <c r="D37" i="3"/>
  <c r="D436" i="6"/>
  <c r="D519" i="6"/>
  <c r="D441" i="6"/>
  <c r="C441" i="6"/>
  <c r="F52" i="2"/>
  <c r="C310" i="6"/>
  <c r="D184" i="6"/>
  <c r="C184" i="6"/>
  <c r="D183" i="6"/>
  <c r="C183" i="6"/>
  <c r="C40" i="5"/>
  <c r="C38" i="5"/>
  <c r="C34" i="5"/>
  <c r="C30" i="5"/>
  <c r="C28" i="5"/>
  <c r="C25" i="5"/>
  <c r="D14" i="5"/>
  <c r="C12" i="5"/>
  <c r="M21" i="4"/>
  <c r="H21" i="4"/>
  <c r="H20" i="4"/>
  <c r="L19" i="4"/>
  <c r="C18" i="4"/>
  <c r="K17" i="4"/>
  <c r="I15" i="4"/>
  <c r="G15" i="4"/>
  <c r="D14" i="4"/>
  <c r="F13" i="4"/>
  <c r="E13" i="4"/>
  <c r="L11" i="4"/>
  <c r="K11" i="4"/>
  <c r="J11" i="4"/>
  <c r="I11" i="4"/>
  <c r="G11" i="4"/>
  <c r="F11" i="4"/>
  <c r="E11" i="4"/>
  <c r="D11" i="4"/>
  <c r="C11" i="4"/>
  <c r="C50" i="3"/>
  <c r="C47" i="3"/>
  <c r="G67" i="2"/>
  <c r="D62" i="2"/>
  <c r="C62" i="2"/>
  <c r="G51" i="2"/>
  <c r="F51" i="2"/>
  <c r="G47" i="2"/>
  <c r="F47" i="2"/>
  <c r="D44" i="2"/>
  <c r="D40" i="2"/>
  <c r="G32" i="2"/>
  <c r="G20" i="2"/>
  <c r="F20" i="2"/>
  <c r="D15" i="2"/>
  <c r="B822" i="6"/>
  <c r="H819" i="6"/>
  <c r="G818" i="6"/>
  <c r="G817" i="6"/>
  <c r="G816" i="6"/>
  <c r="G815" i="6"/>
  <c r="G814" i="6"/>
  <c r="G813" i="6"/>
  <c r="G812" i="6"/>
  <c r="G811" i="6"/>
  <c r="G810" i="6"/>
  <c r="G809" i="6"/>
  <c r="G808" i="6"/>
  <c r="G807" i="6"/>
  <c r="G806" i="6"/>
  <c r="G805" i="6"/>
  <c r="G804" i="6"/>
  <c r="G803" i="6"/>
  <c r="K802" i="6"/>
  <c r="K801" i="6"/>
  <c r="K800" i="6"/>
  <c r="K799" i="6"/>
  <c r="K798" i="6"/>
  <c r="K797" i="6"/>
  <c r="K796" i="6"/>
  <c r="K795" i="6"/>
  <c r="K794" i="6"/>
  <c r="K793" i="6"/>
  <c r="K792" i="6"/>
  <c r="K791" i="6"/>
  <c r="K790" i="6"/>
  <c r="K789" i="6"/>
  <c r="K788" i="6"/>
  <c r="K787" i="6"/>
  <c r="K786" i="6"/>
  <c r="K785" i="6"/>
  <c r="K784" i="6"/>
  <c r="K783" i="6"/>
  <c r="K782" i="6"/>
  <c r="K781" i="6"/>
  <c r="K780" i="6"/>
  <c r="K779" i="6"/>
  <c r="K778" i="6"/>
  <c r="K777" i="6"/>
  <c r="K776" i="6"/>
  <c r="K775" i="6"/>
  <c r="K774" i="6"/>
  <c r="K773" i="6"/>
  <c r="K772" i="6"/>
  <c r="K771" i="6"/>
  <c r="K770" i="6"/>
  <c r="K769" i="6"/>
  <c r="K768" i="6"/>
  <c r="K767" i="6"/>
  <c r="K766" i="6"/>
  <c r="K765" i="6"/>
  <c r="K764" i="6"/>
  <c r="K763" i="6"/>
  <c r="K762" i="6"/>
  <c r="K761" i="6"/>
  <c r="K760" i="6"/>
  <c r="K759" i="6"/>
  <c r="K758" i="6"/>
  <c r="K757" i="6"/>
  <c r="K756" i="6"/>
  <c r="K755" i="6"/>
  <c r="K754" i="6"/>
  <c r="K753" i="6"/>
  <c r="K752" i="6"/>
  <c r="K751" i="6"/>
  <c r="K750" i="6"/>
  <c r="K749" i="6"/>
  <c r="K748" i="6"/>
  <c r="K747" i="6"/>
  <c r="K746" i="6"/>
  <c r="K745" i="6"/>
  <c r="K744" i="6"/>
  <c r="K743" i="6"/>
  <c r="K742" i="6"/>
  <c r="K741" i="6"/>
  <c r="K740" i="6"/>
  <c r="K739" i="6"/>
  <c r="K738" i="6"/>
  <c r="K737" i="6"/>
  <c r="K736" i="6"/>
  <c r="K735" i="6"/>
  <c r="K734" i="6"/>
  <c r="K733" i="6"/>
  <c r="K732" i="6"/>
  <c r="K731" i="6"/>
  <c r="K730" i="6"/>
  <c r="K729" i="6"/>
  <c r="K728" i="6"/>
  <c r="K727" i="6"/>
  <c r="K726" i="6"/>
  <c r="K725" i="6"/>
  <c r="K724" i="6"/>
  <c r="K723" i="6"/>
  <c r="K722" i="6"/>
  <c r="K721" i="6"/>
  <c r="K720" i="6"/>
  <c r="K719" i="6"/>
  <c r="K718" i="6"/>
  <c r="K717" i="6"/>
  <c r="K716" i="6"/>
  <c r="K715" i="6"/>
  <c r="K714" i="6"/>
  <c r="K713" i="6"/>
  <c r="K712" i="6"/>
  <c r="K711" i="6"/>
  <c r="K710" i="6"/>
  <c r="K709" i="6"/>
  <c r="K708" i="6"/>
  <c r="K707" i="6"/>
  <c r="K706" i="6"/>
  <c r="K705" i="6"/>
  <c r="K704" i="6"/>
  <c r="K703" i="6"/>
  <c r="K702" i="6"/>
  <c r="K701" i="6"/>
  <c r="K700" i="6"/>
  <c r="K699" i="6"/>
  <c r="K698" i="6"/>
  <c r="K697" i="6"/>
  <c r="K696" i="6"/>
  <c r="K695" i="6"/>
  <c r="K694" i="6"/>
  <c r="K693" i="6"/>
  <c r="K692" i="6"/>
  <c r="K691" i="6"/>
  <c r="K690" i="6"/>
  <c r="K689" i="6"/>
  <c r="K688" i="6"/>
  <c r="K687" i="6"/>
  <c r="K686" i="6"/>
  <c r="K685" i="6"/>
  <c r="K684" i="6"/>
  <c r="K683" i="6"/>
  <c r="D678" i="6"/>
  <c r="D565" i="6"/>
  <c r="C565" i="6"/>
  <c r="D558" i="6"/>
  <c r="C558" i="6"/>
  <c r="D546" i="6"/>
  <c r="C546" i="6"/>
  <c r="D538" i="6"/>
  <c r="C538" i="6"/>
  <c r="C519" i="6"/>
  <c r="D492" i="6"/>
  <c r="C492" i="6"/>
  <c r="D475" i="6"/>
  <c r="C475" i="6"/>
  <c r="D460" i="6"/>
  <c r="C460" i="6"/>
  <c r="C436" i="6"/>
  <c r="D430" i="6"/>
  <c r="C430" i="6"/>
  <c r="D419" i="6"/>
  <c r="C419" i="6"/>
  <c r="D408" i="6"/>
  <c r="C408" i="6"/>
  <c r="E407" i="6"/>
  <c r="C407" i="6"/>
  <c r="E405" i="6"/>
  <c r="C405" i="6"/>
  <c r="D404" i="6"/>
  <c r="C404" i="6"/>
  <c r="C403" i="6"/>
  <c r="D402" i="6"/>
  <c r="C402" i="6"/>
  <c r="D397" i="6"/>
  <c r="C397" i="6"/>
  <c r="F389" i="6"/>
  <c r="E389" i="6"/>
  <c r="F381" i="6"/>
  <c r="E381" i="6"/>
  <c r="F371" i="6"/>
  <c r="E371" i="6"/>
  <c r="D355" i="6"/>
  <c r="C355" i="6"/>
  <c r="D341" i="6"/>
  <c r="C341" i="6"/>
  <c r="D327" i="6"/>
  <c r="C327" i="6"/>
  <c r="D319" i="6"/>
  <c r="C319" i="6"/>
  <c r="D310" i="6"/>
  <c r="D304" i="6"/>
  <c r="D297" i="6"/>
  <c r="C297" i="6"/>
  <c r="D287" i="6"/>
  <c r="C287" i="6"/>
  <c r="D281" i="6"/>
  <c r="C281" i="6"/>
  <c r="D273" i="6"/>
  <c r="C273" i="6"/>
  <c r="D266" i="6"/>
  <c r="C266" i="6"/>
  <c r="E246" i="6"/>
  <c r="D246" i="6"/>
  <c r="C246" i="6"/>
  <c r="F245" i="6"/>
  <c r="D235" i="6"/>
  <c r="C235" i="6"/>
  <c r="K225" i="6"/>
  <c r="I225" i="6"/>
  <c r="H225" i="6"/>
  <c r="F225" i="6"/>
  <c r="D225" i="6"/>
  <c r="C225" i="6"/>
  <c r="J224" i="6"/>
  <c r="E224" i="6"/>
  <c r="L223" i="6"/>
  <c r="G223" i="6"/>
  <c r="L222" i="6"/>
  <c r="G222" i="6"/>
  <c r="D212" i="6"/>
  <c r="D204" i="6"/>
  <c r="C204" i="6"/>
  <c r="D197" i="6"/>
  <c r="C197" i="6"/>
  <c r="E113" i="6"/>
  <c r="F107" i="6"/>
  <c r="G105" i="6"/>
  <c r="D96" i="6"/>
  <c r="C96" i="6"/>
  <c r="E73" i="6"/>
  <c r="C73" i="6"/>
  <c r="E72" i="6"/>
  <c r="C72" i="6"/>
  <c r="H66" i="6"/>
  <c r="E66" i="6"/>
  <c r="H64" i="6"/>
  <c r="E64" i="6"/>
  <c r="H63" i="6"/>
  <c r="E63" i="6"/>
  <c r="H62" i="6"/>
  <c r="E62" i="6"/>
  <c r="H61" i="6"/>
  <c r="E61" i="6"/>
  <c r="G62" i="2" l="1"/>
  <c r="F62" i="2"/>
  <c r="D41" i="5"/>
  <c r="D43" i="5" s="1"/>
  <c r="D445" i="6"/>
  <c r="C304" i="6"/>
  <c r="D32" i="2"/>
  <c r="C212" i="6"/>
  <c r="C46" i="3"/>
  <c r="C42" i="3"/>
  <c r="D32" i="3"/>
  <c r="D29" i="3" s="1"/>
  <c r="C32" i="3"/>
  <c r="C29" i="3" s="1"/>
  <c r="I62" i="6"/>
  <c r="C53" i="3"/>
  <c r="C21" i="5" s="1"/>
  <c r="C49" i="3"/>
  <c r="D42" i="3"/>
  <c r="D39" i="3"/>
  <c r="D33" i="3" s="1"/>
  <c r="C39" i="3"/>
  <c r="C33" i="3" s="1"/>
  <c r="D27" i="3"/>
  <c r="C27" i="3"/>
  <c r="D26" i="3"/>
  <c r="C26" i="3"/>
  <c r="D23" i="3"/>
  <c r="C23" i="3"/>
  <c r="D47" i="2"/>
  <c r="D46" i="2" s="1"/>
  <c r="C47" i="2"/>
  <c r="C46" i="2" s="1"/>
  <c r="F33" i="2"/>
  <c r="F32" i="2" s="1"/>
  <c r="G27" i="2"/>
  <c r="F27" i="2"/>
  <c r="G26" i="2"/>
  <c r="F26" i="2"/>
  <c r="D25" i="2"/>
  <c r="D24" i="2" s="1"/>
  <c r="C25" i="2"/>
  <c r="D22" i="2"/>
  <c r="C22" i="2"/>
  <c r="D21" i="2"/>
  <c r="C21" i="2"/>
  <c r="D20" i="2"/>
  <c r="G18" i="2"/>
  <c r="C16" i="2"/>
  <c r="C24" i="5" s="1"/>
  <c r="G14" i="2"/>
  <c r="F14" i="2"/>
  <c r="G13" i="2"/>
  <c r="D13" i="2"/>
  <c r="D11" i="2" s="1"/>
  <c r="G12" i="2"/>
  <c r="F12" i="2"/>
  <c r="J816" i="6"/>
  <c r="J803" i="6"/>
  <c r="I64" i="6"/>
  <c r="F62" i="6"/>
  <c r="C13" i="2"/>
  <c r="C11" i="2" s="1"/>
  <c r="E21" i="4"/>
  <c r="D21" i="4"/>
  <c r="C21" i="4"/>
  <c r="D53" i="3"/>
  <c r="D49" i="3"/>
  <c r="D46" i="3"/>
  <c r="D22" i="3"/>
  <c r="C22" i="3"/>
  <c r="D20" i="3"/>
  <c r="C20" i="3"/>
  <c r="D19" i="3"/>
  <c r="C19" i="3"/>
  <c r="G55" i="2"/>
  <c r="F55" i="2"/>
  <c r="G35" i="2"/>
  <c r="F35" i="2"/>
  <c r="C35" i="2"/>
  <c r="C32" i="2" s="1"/>
  <c r="J818" i="6"/>
  <c r="K818" i="6" s="1"/>
  <c r="J817" i="6"/>
  <c r="K817" i="6" s="1"/>
  <c r="G819" i="6"/>
  <c r="B823" i="6" s="1"/>
  <c r="F18" i="2"/>
  <c r="G17" i="2"/>
  <c r="F17" i="2"/>
  <c r="C17" i="2"/>
  <c r="J815" i="6"/>
  <c r="K815" i="6" s="1"/>
  <c r="J814" i="6"/>
  <c r="K814" i="6" s="1"/>
  <c r="J813" i="6"/>
  <c r="K813" i="6" s="1"/>
  <c r="J812" i="6"/>
  <c r="K812" i="6" s="1"/>
  <c r="J811" i="6"/>
  <c r="K811" i="6" s="1"/>
  <c r="J810" i="6"/>
  <c r="K810" i="6" s="1"/>
  <c r="J809" i="6"/>
  <c r="K809" i="6" s="1"/>
  <c r="J808" i="6"/>
  <c r="K808" i="6" s="1"/>
  <c r="J807" i="6"/>
  <c r="K807" i="6" s="1"/>
  <c r="J806" i="6"/>
  <c r="K806" i="6" s="1"/>
  <c r="J805" i="6"/>
  <c r="K805" i="6" s="1"/>
  <c r="J804" i="6"/>
  <c r="C445" i="6"/>
  <c r="E408" i="6"/>
  <c r="F407" i="6"/>
  <c r="D406" i="6"/>
  <c r="C406" i="6"/>
  <c r="F405" i="6"/>
  <c r="F404" i="6"/>
  <c r="F403" i="6"/>
  <c r="F402" i="6"/>
  <c r="M222" i="6"/>
  <c r="L21" i="4"/>
  <c r="G21" i="4"/>
  <c r="C20" i="4"/>
  <c r="M18" i="4"/>
  <c r="M13" i="4"/>
  <c r="D679" i="6"/>
  <c r="L224" i="6"/>
  <c r="F66" i="6"/>
  <c r="I63" i="6"/>
  <c r="I61" i="6"/>
  <c r="D22" i="5"/>
  <c r="J21" i="4"/>
  <c r="I20" i="4"/>
  <c r="F20" i="4"/>
  <c r="D20" i="4"/>
  <c r="K16" i="4"/>
  <c r="N11" i="4"/>
  <c r="N21" i="4" s="1"/>
  <c r="F246" i="6"/>
  <c r="C44" i="2" s="1"/>
  <c r="J225" i="6"/>
  <c r="E225" i="6"/>
  <c r="G224" i="6"/>
  <c r="M223" i="6"/>
  <c r="I66" i="6"/>
  <c r="K21" i="4"/>
  <c r="F21" i="4"/>
  <c r="J20" i="4"/>
  <c r="G20" i="4"/>
  <c r="E20" i="4"/>
  <c r="M19" i="4"/>
  <c r="M17" i="4"/>
  <c r="M15" i="4"/>
  <c r="M14" i="4"/>
  <c r="D24" i="3" l="1"/>
  <c r="F13" i="2"/>
  <c r="D19" i="2"/>
  <c r="G11" i="2"/>
  <c r="C20" i="2"/>
  <c r="C13" i="5"/>
  <c r="K816" i="6"/>
  <c r="G16" i="2"/>
  <c r="C42" i="5"/>
  <c r="K803" i="6"/>
  <c r="M224" i="6"/>
  <c r="L225" i="6"/>
  <c r="C41" i="2" s="1"/>
  <c r="C31" i="5"/>
  <c r="C24" i="2"/>
  <c r="C17" i="5" s="1"/>
  <c r="C24" i="3"/>
  <c r="G25" i="2"/>
  <c r="D8" i="3"/>
  <c r="C8" i="3"/>
  <c r="D55" i="2"/>
  <c r="F25" i="2"/>
  <c r="C37" i="5"/>
  <c r="F16" i="2"/>
  <c r="C35" i="5"/>
  <c r="C15" i="2"/>
  <c r="C29" i="5"/>
  <c r="K804" i="6"/>
  <c r="J819" i="6"/>
  <c r="F406" i="6"/>
  <c r="C409" i="6"/>
  <c r="L16" i="4"/>
  <c r="L20" i="4" s="1"/>
  <c r="M16" i="4"/>
  <c r="G37" i="2"/>
  <c r="B824" i="6"/>
  <c r="E409" i="6"/>
  <c r="D409" i="6"/>
  <c r="F408" i="6"/>
  <c r="K20" i="4"/>
  <c r="G225" i="6"/>
  <c r="C40" i="2" s="1"/>
  <c r="F37" i="2"/>
  <c r="D28" i="3" l="1"/>
  <c r="D40" i="3" s="1"/>
  <c r="D51" i="3" s="1"/>
  <c r="D54" i="3" s="1"/>
  <c r="F11" i="2"/>
  <c r="D29" i="2"/>
  <c r="C39" i="5"/>
  <c r="C19" i="2"/>
  <c r="K819" i="6"/>
  <c r="C28" i="3"/>
  <c r="C40" i="3" s="1"/>
  <c r="C51" i="3" s="1"/>
  <c r="C54" i="3" s="1"/>
  <c r="C11" i="5"/>
  <c r="C14" i="5" s="1"/>
  <c r="C22" i="5" s="1"/>
  <c r="G29" i="2"/>
  <c r="G40" i="2" s="1"/>
  <c r="G56" i="2" s="1"/>
  <c r="C823" i="6"/>
  <c r="C822" i="6"/>
  <c r="M225" i="6"/>
  <c r="F409" i="6"/>
  <c r="M20" i="4"/>
  <c r="F29" i="2" l="1"/>
  <c r="D56" i="2"/>
  <c r="C29" i="2"/>
  <c r="C55" i="2"/>
  <c r="C27" i="5"/>
  <c r="C32" i="5" s="1"/>
  <c r="C41" i="5" s="1"/>
  <c r="C43" i="5" s="1"/>
  <c r="F40" i="2" l="1"/>
  <c r="F56" i="2" s="1"/>
  <c r="C56" i="2"/>
</calcChain>
</file>

<file path=xl/sharedStrings.xml><?xml version="1.0" encoding="utf-8"?>
<sst xmlns="http://schemas.openxmlformats.org/spreadsheetml/2006/main" count="1218" uniqueCount="778">
  <si>
    <t xml:space="preserve">ESTADOS FINANCIEROS
 CAPITAL MARKETS Casa de Bolsa S.A. 
</t>
  </si>
  <si>
    <t>Activo</t>
  </si>
  <si>
    <t>PERIODO ACTUAL</t>
  </si>
  <si>
    <t>PERIODO    ANTERIOR</t>
  </si>
  <si>
    <t>PASIVO</t>
  </si>
  <si>
    <t>PERIODO    ACTUAL</t>
  </si>
  <si>
    <t>Activo Corriente</t>
  </si>
  <si>
    <t>Pasivo Corriente</t>
  </si>
  <si>
    <t>Disponibilidades (Nota 5.d)</t>
  </si>
  <si>
    <t>Documentos y Cuentas a Pagar</t>
  </si>
  <si>
    <t xml:space="preserve">Caja                                                                                              </t>
  </si>
  <si>
    <t>Acreedores por Intermediación (Nota 5.m)</t>
  </si>
  <si>
    <t>Bancos</t>
  </si>
  <si>
    <t>Acreedores Varios (Nota 5. l)</t>
  </si>
  <si>
    <t>Acreedores Varios Vinculados (Nota 5. o)</t>
  </si>
  <si>
    <t>Inventario (Nota 5,h1)</t>
  </si>
  <si>
    <t>Títulos de Renta Variable</t>
  </si>
  <si>
    <t>Préstamos Financieros (Nota 5. k)</t>
  </si>
  <si>
    <t>Títulos de Renta Fija</t>
  </si>
  <si>
    <t>Deudas Financieras</t>
  </si>
  <si>
    <t>Intereses a pagar</t>
  </si>
  <si>
    <t>Créditos (Nota 5. f)</t>
  </si>
  <si>
    <t xml:space="preserve">Deudores por Intermediación </t>
  </si>
  <si>
    <t xml:space="preserve">Provisiones (Nota 5. q) </t>
  </si>
  <si>
    <t xml:space="preserve">Documentos y cuentas por cobrar  </t>
  </si>
  <si>
    <t>Impuestos a pagar</t>
  </si>
  <si>
    <t>Deudores Varios</t>
  </si>
  <si>
    <t>Aportes y Retenciones a pagar</t>
  </si>
  <si>
    <t>Anticipo de clientes</t>
  </si>
  <si>
    <t>Otros Activos (Nota 5. j)</t>
  </si>
  <si>
    <t xml:space="preserve">Otros Activos Corrientes </t>
  </si>
  <si>
    <t>Otros Pasivos (Nota 5. q)</t>
  </si>
  <si>
    <t xml:space="preserve">Dividendos a pagar </t>
  </si>
  <si>
    <t xml:space="preserve">Otros Pasivos Corrientes </t>
  </si>
  <si>
    <t>TOTAL ACTIVO CORRIENTE</t>
  </si>
  <si>
    <t>TOTAL PASIVO CORRIENTE</t>
  </si>
  <si>
    <t>ACTIVO NO CORRIENTE</t>
  </si>
  <si>
    <t>PASIVO NO CORRIENTE</t>
  </si>
  <si>
    <t xml:space="preserve">Inversiones Permanentes </t>
  </si>
  <si>
    <t xml:space="preserve">Fondos Mutuos  Administradora de Fondos S.A. Gs    </t>
  </si>
  <si>
    <t>Fondos Mutuos  Administradora de Fondos S.A. U$</t>
  </si>
  <si>
    <t>Acción de la Bolsa de Valores (Nota 5.e)</t>
  </si>
  <si>
    <t>Obligac. por Administración de Cartera (5.n)</t>
  </si>
  <si>
    <t>Menos: Previsión para Inversiones</t>
  </si>
  <si>
    <t>TOTAL PASIVO NO CORRIENTE</t>
  </si>
  <si>
    <t xml:space="preserve"> ACTIVO no CORRIENTE</t>
  </si>
  <si>
    <t>Bienes de Uso (Nota 5. g)</t>
  </si>
  <si>
    <t>TOTAL PASIVO</t>
  </si>
  <si>
    <t>(Depreciación acumulada)</t>
  </si>
  <si>
    <t xml:space="preserve">PATRIMONIO NETO </t>
  </si>
  <si>
    <t>Capital Integrado</t>
  </si>
  <si>
    <t>Activos Intangibles y Cargos Diferidos (Nota 5.i)</t>
  </si>
  <si>
    <t>Prima de Emisión</t>
  </si>
  <si>
    <t>Aporte p/ futuras Capitalizaciones</t>
  </si>
  <si>
    <t>Otros Activos no Corrientes(Nota 5. j)</t>
  </si>
  <si>
    <t>Accion Bvpasa</t>
  </si>
  <si>
    <t>Deudores en Gestion de cobro</t>
  </si>
  <si>
    <t xml:space="preserve">Reservas  </t>
  </si>
  <si>
    <t>Reserva Legal</t>
  </si>
  <si>
    <t xml:space="preserve">Reservas Facultativas </t>
  </si>
  <si>
    <t>Reserva de Revaluo Fiscal</t>
  </si>
  <si>
    <t>Resultados Acumulados</t>
  </si>
  <si>
    <t xml:space="preserve">Resultado del Ejercicio </t>
  </si>
  <si>
    <t>TOTAL ACTIVO NO CORRIENTE</t>
  </si>
  <si>
    <t>TOTAL PATRIMONIO NETO</t>
  </si>
  <si>
    <t xml:space="preserve">TOTAL ACTIVO  </t>
  </si>
  <si>
    <t>TOTAL PASIVO Y PATRIMONIO NETO</t>
  </si>
  <si>
    <t>ELERCICIO ANTERIOR</t>
  </si>
  <si>
    <t>Cuentas de Orden Deudoras</t>
  </si>
  <si>
    <t>Cuentas de Orden Acreedoras</t>
  </si>
  <si>
    <t>Registro de Administración de Cartera</t>
  </si>
  <si>
    <t>Bancop Cta. Clearing Gs.</t>
  </si>
  <si>
    <t>Ctas. Ctes. de Clientes por compraventa de valores</t>
  </si>
  <si>
    <t>GNB  Clearing Gs</t>
  </si>
  <si>
    <t>GNB  Clearing USD</t>
  </si>
  <si>
    <t>Bancop Cuenta Clearing USD</t>
  </si>
  <si>
    <t>Responsabilidad por Administración de Cartera</t>
  </si>
  <si>
    <t>Las 11 notas y sus anexos aclaratorios que se acompañan son parte integrante de estos estados financieros.</t>
  </si>
  <si>
    <t>IGUAL PERIODO DEL AÑO ANTERIOR</t>
  </si>
  <si>
    <t>INGRESOS OPERATIVOS</t>
  </si>
  <si>
    <t xml:space="preserve">. Comisiones por contratos de colocación primaria </t>
  </si>
  <si>
    <t xml:space="preserve">Comisiones por contratos de colocación primaria de acciones </t>
  </si>
  <si>
    <t>Comisiones por contratos de colocación primaria de renta fija</t>
  </si>
  <si>
    <t>. Comisiones por contratos de colocación secundaria</t>
  </si>
  <si>
    <t>Comisiones por contratos de colocación secundaria de acciones</t>
  </si>
  <si>
    <t>Comisiones por contratos de colocación secundaria de renta fija</t>
  </si>
  <si>
    <t xml:space="preserve">  Ingresos por administración de cartera</t>
  </si>
  <si>
    <t xml:space="preserve">  Ingresos por custodia de valores</t>
  </si>
  <si>
    <t>. Ingresos por asesoría financiera</t>
  </si>
  <si>
    <t xml:space="preserve">  Ingresos por intereses y dividendos de cartera propia</t>
  </si>
  <si>
    <t xml:space="preserve">  Ingresos por venta de cartera propia</t>
  </si>
  <si>
    <t xml:space="preserve">  Ingresos por venta de cartera propia a personas y empresas relacionadas</t>
  </si>
  <si>
    <t xml:space="preserve">  Ingresos por operaciones y servicios a personas relacionadas (Nota...)</t>
  </si>
  <si>
    <t xml:space="preserve">  Ingresos por operaciones y servicios extrabursátiles (Nota...)</t>
  </si>
  <si>
    <t>. Otros ingresos operativos (Nota 5. v)</t>
  </si>
  <si>
    <t>GASTOS OPERATIVOS</t>
  </si>
  <si>
    <t>Gastos por comisiones y servicios</t>
  </si>
  <si>
    <t>Aranceles por negociación Bolsa de Valores (Nota 5. w)</t>
  </si>
  <si>
    <t>Otros gastos operativos (Nota 5. w)</t>
  </si>
  <si>
    <t>RESULTADO OPERATIVO BRUTO</t>
  </si>
  <si>
    <t>GASTOS DE COMERCIALIZACION</t>
  </si>
  <si>
    <t>Publicidad</t>
  </si>
  <si>
    <t>Folletos e Impresiones</t>
  </si>
  <si>
    <t>Otros gastos de comercialización (Nota 5. w)</t>
  </si>
  <si>
    <t>GASTOS DE ADMINISTRACION</t>
  </si>
  <si>
    <t>Servicios personales</t>
  </si>
  <si>
    <t>Previsión, amortización y depreciaciones</t>
  </si>
  <si>
    <t>Mantenimientos</t>
  </si>
  <si>
    <t>Seguros</t>
  </si>
  <si>
    <t>Impuestos, tasas y contribuciones</t>
  </si>
  <si>
    <t>Otros gastos de administración (Nota 5. w)</t>
  </si>
  <si>
    <t>RESULTADO OPERATIVO NETO</t>
  </si>
  <si>
    <t>Otros Ingresos y Egresos (Nota 5. x)</t>
  </si>
  <si>
    <t>Otros Ingresos</t>
  </si>
  <si>
    <t>Otros Egresos</t>
  </si>
  <si>
    <t>RESULTADOS FINANCIEROS</t>
  </si>
  <si>
    <t>Generados por activos:</t>
  </si>
  <si>
    <t>Intereses cobrados (Nota 5. y)</t>
  </si>
  <si>
    <t>Diferencia de cambio</t>
  </si>
  <si>
    <t>Generados por pasivos:</t>
  </si>
  <si>
    <t>Intereses pagados (Nota 5. y)</t>
  </si>
  <si>
    <t>UTILIDAD O (PERDIDA)</t>
  </si>
  <si>
    <t>IMPUESTO A LA RENTA</t>
  </si>
  <si>
    <t>RESERVA LEGAL</t>
  </si>
  <si>
    <t>RESULTADO DEL EJERCICIO</t>
  </si>
  <si>
    <t>ESTADO DE VARIACION DEL PATRIMONIO NETO</t>
  </si>
  <si>
    <t>(En guaraníes)</t>
  </si>
  <si>
    <t>Movimientos</t>
  </si>
  <si>
    <t>CAPITAL</t>
  </si>
  <si>
    <t>RESERVAS</t>
  </si>
  <si>
    <t>RESULTADOS</t>
  </si>
  <si>
    <t>PATRIMONIO NETO</t>
  </si>
  <si>
    <t>R. ACCIONES</t>
  </si>
  <si>
    <t>A Integrar</t>
  </si>
  <si>
    <t>Prima</t>
  </si>
  <si>
    <t>Integrado</t>
  </si>
  <si>
    <t>Legal</t>
  </si>
  <si>
    <t>facultativa</t>
  </si>
  <si>
    <t>Revalúo</t>
  </si>
  <si>
    <t>Acumulados</t>
  </si>
  <si>
    <t>Del Ejercicio</t>
  </si>
  <si>
    <t>Período</t>
  </si>
  <si>
    <t>Período anterior</t>
  </si>
  <si>
    <t>Actual</t>
  </si>
  <si>
    <t>Saldo al inicio del ejercicio</t>
  </si>
  <si>
    <t>Movimientos subsecuentes</t>
  </si>
  <si>
    <t>Aumento de Capital</t>
  </si>
  <si>
    <t>Aportes irrevocables para integración de capital</t>
  </si>
  <si>
    <t>Transferencia a Resultados Acumulados</t>
  </si>
  <si>
    <t>Dividendos a Pagar</t>
  </si>
  <si>
    <t>Valuación de la Acción BVPASA</t>
  </si>
  <si>
    <t>Resultado del Ejercicio</t>
  </si>
  <si>
    <t>Total período Actual</t>
  </si>
  <si>
    <t>Total período Anterior</t>
  </si>
  <si>
    <t>ESTADO DE FLUJO DE EFECTIVO</t>
  </si>
  <si>
    <t xml:space="preserve"> (En guaraníes)</t>
  </si>
  <si>
    <t>FLUJO DE EFECTIVO POR LAS ACTIVIDADES OPERATIVAS</t>
  </si>
  <si>
    <t>Ingresos en efectivo por comisiones y otros</t>
  </si>
  <si>
    <t>Efectivo pagado a empleados</t>
  </si>
  <si>
    <t>Efectivo generado (usado) por otras actividades</t>
  </si>
  <si>
    <t>Total de Efectivo por las actividades operativas antes de cambio en los activos de operaciones</t>
  </si>
  <si>
    <t>(Aumento) disminución en los activos de operación</t>
  </si>
  <si>
    <t>Otros activos</t>
  </si>
  <si>
    <t>Aumento (o Disminución) en pasivos operativos</t>
  </si>
  <si>
    <t>Pagos a proveedores</t>
  </si>
  <si>
    <t>Efectivo neto de actividades de operaciones antes del impuesto</t>
  </si>
  <si>
    <t xml:space="preserve">Impuestos </t>
  </si>
  <si>
    <t>Efectivo neto de actividades de operación</t>
  </si>
  <si>
    <t>FLUJO DE EFECTIVO POR LAS ACTIVIDADES DE INVERSION</t>
  </si>
  <si>
    <t>Inversiones en otras empresas</t>
  </si>
  <si>
    <t>Inversiones temporarias</t>
  </si>
  <si>
    <t>Fondos con destino especial</t>
  </si>
  <si>
    <t>Compra de propiedades, planta y equipo</t>
  </si>
  <si>
    <t>Activos Intangibles</t>
  </si>
  <si>
    <t>Adquisición y títulos de deudas (cartera propia)</t>
  </si>
  <si>
    <t>Dividendos percibidos</t>
  </si>
  <si>
    <t>Anticipos de clientes</t>
  </si>
  <si>
    <t>Efectivo neto por (o usado) en actividades de inversión</t>
  </si>
  <si>
    <t>FLUJO DE EFECTIVO POR LAS ACTIVIDADES DE FINANCIAMIENTO</t>
  </si>
  <si>
    <t>Aportes de capital</t>
  </si>
  <si>
    <t>Provenientes de préstamos y otras deudas</t>
  </si>
  <si>
    <t>Dividendos pagados</t>
  </si>
  <si>
    <t>Intereses pagados</t>
  </si>
  <si>
    <t>Dividendos Pagados</t>
  </si>
  <si>
    <t>Efectivo neto en actividades de financiamiento</t>
  </si>
  <si>
    <t>Diferencia de cambio (7)</t>
  </si>
  <si>
    <t>Aumento (o Disminución) neto de efectivo y sus equivalentes</t>
  </si>
  <si>
    <t>Efectivo y su equivalente al comienzo del período</t>
  </si>
  <si>
    <t>Efectivo y su equivalente al cierre del período</t>
  </si>
  <si>
    <t>NOTAS A LOS ESTADOS CONTABLES</t>
  </si>
  <si>
    <t xml:space="preserve">1) </t>
  </si>
  <si>
    <t xml:space="preserve">Consideración de los Estados Contables. </t>
  </si>
  <si>
    <t xml:space="preserve"> </t>
  </si>
  <si>
    <t xml:space="preserve">2) </t>
  </si>
  <si>
    <t>Información básica de la empresa.</t>
  </si>
  <si>
    <t>2.1. Naturaleza jurídica de las actividades de la sociedad.</t>
  </si>
  <si>
    <t xml:space="preserve">Capital Markets Casa de Bolsa S.A. Se rige por las disposiciones legales contenidas en la Ley Nº 5810 de Mercados de Capitales y todas las demás disposiciones legales y reglamentarias del país. </t>
  </si>
  <si>
    <t>Inicialmente la Sociedad se constituyó bajo la denominación Bolpar S.A. Casa de Bolsa creada el 26 de noviembre de 1990 por Escritura Pública Nº 96 pasada ante el Escribano Público Juan José Benítez Rickman, aprobado el estatuto por Decreto del Poder Ejecutivo Nº 9874 de fecha 13 de junio de 1991 e inscripta en el Registro Público de Comercio bajo en Nº 344, folio 1898 y siguientes en fecha 22 de julio de 1991. Fue dispuesta su inscripción en el Registro de Casas de Bolsa el 9 de noviembre de 1992, prevista en el artículo Nº 85, inciso 4 de la Ley Nº 94/91.</t>
  </si>
  <si>
    <t>La duración de la Sociedad queda fijada en (99) noventa y nueve años, contados a partir de la fecha de inscripción de la misma en el Registro Público de Comercio.</t>
  </si>
  <si>
    <t xml:space="preserve">La Sociedad tiene por objeto principal la intermediación en el Mercado de Valores, en forma habitual, y por cuenta ajena. Mediante la realización de operaciones de compra –venta, colocación, corretaje, comisión o negociación de títulos –valores emitidos por terceros, respecto de los cuales se hagan oferta pública, y podrá realizar en general, todas aquellas actividades complementarias, conexas o afines con la intermediación de valores y debidamente inscriptos en el Registro de Intermediarios. </t>
  </si>
  <si>
    <t>2.2. Participación en otras empresas.</t>
  </si>
  <si>
    <t xml:space="preserve">No aplicable. </t>
  </si>
  <si>
    <t>3)</t>
  </si>
  <si>
    <t>Principales políticas y prácticas contables aplicadas.</t>
  </si>
  <si>
    <t xml:space="preserve">3.2            El criterio de valuación utilizado para los diferentes bienes del Activo de la Firma ha sido el costo histórico sin tener en cuenta el efecto de las variaciones en el poder adquisitivo de la moneda local, que pudieran tener sobre los activos no monetarios que la componen, ya que el ajuste por inflación no es práctica contable aceptada en el Paraguay, excepto por el ajuste realizado hasta el Ejercicio 1998 sobre el valor de las acciones de la Bolsa de Valores según Resolución Nº 75/94 de la Comisión Nacional de Valores y los bienes de uso, que se actualizan de acuerdo a lo indicado en los puntos 2.b, 2c siguientes. Los Estados Contables no reconocen en forma integral los efectos de la inflación sobre los valores tomados en conjunto. </t>
  </si>
  <si>
    <t>3.3.             Política de constitución de previsiones: Hasta el momento no se han establecido criterios para el tratamiento de las cuentas incobrables.</t>
  </si>
  <si>
    <t>El criterio adoptado para las depreciaciones es el método lineal de acuerdo a los años de vida útil del bien.</t>
  </si>
  <si>
    <t>3.4.             Política de reconocimiento de ingresos: Se ha utilizado para este efecto el criterio de devengado, lo mismo para los egresos.</t>
  </si>
  <si>
    <t>3.5.             Estado de Flujo de Efectivo: La clasificación de flujo de efectivo se ha realizado de acuerdo a las actividades operativas, de inversión y de financiamiento, y reflejan los ingresos y egresos de las principales actividades operativas, actividades de adquisición y enajenación de activos a largo plazo (actividades de inversión) y actividades que dan por resultado cambios en el tamaño y composición el capital contable y los préstamos de la empresa (actividad de financiamiento).</t>
  </si>
  <si>
    <t>3.6.             Normas aplicadas para la consolidación de Estados Contables: No Aplicable.</t>
  </si>
  <si>
    <t>4)</t>
  </si>
  <si>
    <t>Cambio de Políticas y Procedimientos de Contabilidad.</t>
  </si>
  <si>
    <t>No se registran cambios en cuenta a criterios contables con respecto al ejercicio anterior cerrado</t>
  </si>
  <si>
    <t xml:space="preserve">             5)              </t>
  </si>
  <si>
    <t>Criterios específicos de valuación.</t>
  </si>
  <si>
    <t>a)  Valuación en moneda extranjera</t>
  </si>
  <si>
    <t>A continuación, se detalla el tipo de cambio utilizado para convertir a moneda nacional los saldos en moneda extranjera.</t>
  </si>
  <si>
    <t xml:space="preserve">Período actual </t>
  </si>
  <si>
    <t xml:space="preserve">Período  </t>
  </si>
  <si>
    <t>en Gs.</t>
  </si>
  <si>
    <t xml:space="preserve"> anterior en Gs.</t>
  </si>
  <si>
    <t>Tipo de cambio comprador</t>
  </si>
  <si>
    <t xml:space="preserve">Tipo de cambio vendedor       </t>
  </si>
  <si>
    <t>b) Posición en moneda extranjera</t>
  </si>
  <si>
    <t>ACTIVOS Y PASIVOS EN MONEDA EXTRANJERA</t>
  </si>
  <si>
    <t>DETALLE</t>
  </si>
  <si>
    <t>MONEDA EXTRANJERA – CLASE</t>
  </si>
  <si>
    <t>MONEDA EXTRANJERA – MONTO</t>
  </si>
  <si>
    <t>CAMBIO CIERRE – PERIODO ACTUAL</t>
  </si>
  <si>
    <t>SALDO – PERIODO ACTUAL (GUARANIES)</t>
  </si>
  <si>
    <t>MONEDA EXTRANJERA - MONTO</t>
  </si>
  <si>
    <t>CAMBIO CIERRE – PERIODO ANTERIOR</t>
  </si>
  <si>
    <t>SALDO – PERIODO ANTERIOR  (GUARANIES)</t>
  </si>
  <si>
    <t>ACTIVO</t>
  </si>
  <si>
    <t>ACTIVOS CORRIENTES</t>
  </si>
  <si>
    <t>Bancop Cta. Corrientes USD 0410142603</t>
  </si>
  <si>
    <t>USD</t>
  </si>
  <si>
    <t>Bancop Caja de Ahorro JS USD 0410165042</t>
  </si>
  <si>
    <t xml:space="preserve"> Invui - Account Number: NVI-002392</t>
  </si>
  <si>
    <t>Transferencias Pendientes U$</t>
  </si>
  <si>
    <t>PASIVOS CORRIENTES</t>
  </si>
  <si>
    <t>s/ Cuentas pasivas</t>
  </si>
  <si>
    <t>c) Diferencia de cambio en moneda extranjera</t>
  </si>
  <si>
    <t>CONCEPTO</t>
  </si>
  <si>
    <t>TIPO DE CAMBIO PERIODO ACTUAL</t>
  </si>
  <si>
    <t>MONTO AJUSTADO PERIODO ACTUAL G.</t>
  </si>
  <si>
    <t>TIPO DE CAMBIO  PERIODO ANTERIOR</t>
  </si>
  <si>
    <t>MONTO AJUSTADO  PERIODO ANTERIOR G.</t>
  </si>
  <si>
    <t>GANANCIAS POR VALUACIÓN DE ACTIVOS MONETARIOS EN MONEDA EXTRANJERA</t>
  </si>
  <si>
    <t>PÉRDIDAS POR VALUACIÓN DE ACTIVOS MONETARIOS EN MONEDA EXTRANJERA</t>
  </si>
  <si>
    <t xml:space="preserve">d) Disponibilidades </t>
  </si>
  <si>
    <t>La composición de este rubro está compuesta por:</t>
  </si>
  <si>
    <t xml:space="preserve">Concepto </t>
  </si>
  <si>
    <t>Período Actual Gs.</t>
  </si>
  <si>
    <t xml:space="preserve"> Período Anterior Gs.</t>
  </si>
  <si>
    <t>Recuadaciones a Depositar</t>
  </si>
  <si>
    <t>Bancop Cta.Cte.GS 0410015970</t>
  </si>
  <si>
    <t>Bancop Cta. Propia CMCB GS 0410145254</t>
  </si>
  <si>
    <t>Ueno Caja de  Ahorro Guaraníes</t>
  </si>
  <si>
    <t>Zetabanco Cta Gs. 155014033</t>
  </si>
  <si>
    <t>Tu Financiera Ahorro Gs.</t>
  </si>
  <si>
    <t>Banco Continental - Caja de ahorros</t>
  </si>
  <si>
    <t>BNF Caja de ahorro cuenta: 65.00.651505/8</t>
  </si>
  <si>
    <t>Invui - Account Number: NVI-002392</t>
  </si>
  <si>
    <t>TRANSFERENCIAS PENDIENTES DE CLEARING</t>
  </si>
  <si>
    <t xml:space="preserve"> Totales </t>
  </si>
  <si>
    <t xml:space="preserve">e) Inversiones Permanentes </t>
  </si>
  <si>
    <t>Este rubro está compuesto por las siguientes cuentas:</t>
  </si>
  <si>
    <t>INFORMACIÓN SOBRE EL DOCUMENTO Y EMISOR</t>
  </si>
  <si>
    <t>INFORMACIÓN SOBRE EL EMISOR</t>
  </si>
  <si>
    <t>TIPO</t>
  </si>
  <si>
    <t>CANTIDAD DE TITULOS</t>
  </si>
  <si>
    <t>VALOR NOMINAL UNITARIO</t>
  </si>
  <si>
    <t>VALOR</t>
  </si>
  <si>
    <t>PATRIM.</t>
  </si>
  <si>
    <t>EMISOR</t>
  </si>
  <si>
    <t>DE TITULO</t>
  </si>
  <si>
    <t>CONTABLE</t>
  </si>
  <si>
    <t>RESULTADO</t>
  </si>
  <si>
    <t>NETO</t>
  </si>
  <si>
    <t>Inversiones Permanentes</t>
  </si>
  <si>
    <t>BOLSA DE VALORES Y PRODUCTOS DE ASUNCION S.A.</t>
  </si>
  <si>
    <t>ACCION</t>
  </si>
  <si>
    <t>TOTALES PERÍODO ACTUAL G.</t>
  </si>
  <si>
    <t>TOTALES PERíODO ANTERIOR G.</t>
  </si>
  <si>
    <t xml:space="preserve">Acciones BVPASA </t>
  </si>
  <si>
    <t xml:space="preserve">La acción que Capital Markets Casa de Bolsa S.A., posee en la Bolsa de Valores y Productos de Asunción Sociedad Anónima (BVPASA) al 31 de marzo de 2025 se encuentra valuada al último valor negociado en el Mercado. </t>
  </si>
  <si>
    <t>Cantidad</t>
  </si>
  <si>
    <t>Valor Nominal</t>
  </si>
  <si>
    <t>Valor Libro de la acción</t>
  </si>
  <si>
    <t>Valor último remate</t>
  </si>
  <si>
    <t>Saldo período actual en Gs.</t>
  </si>
  <si>
    <t>Saldo período anterior en Gs.</t>
  </si>
  <si>
    <t>e 1) Invenbtarios Titulos</t>
  </si>
  <si>
    <t>Total</t>
  </si>
  <si>
    <t>Cotizacion Referencial</t>
  </si>
  <si>
    <t>Importe</t>
  </si>
  <si>
    <t>Importe En Moneda</t>
  </si>
  <si>
    <t>Importe en Moneda</t>
  </si>
  <si>
    <t xml:space="preserve">     12010115001 CDA </t>
  </si>
  <si>
    <t xml:space="preserve">          [BRO] BANCO RÍO S.A.E.C.A.</t>
  </si>
  <si>
    <t xml:space="preserve">               AH1761</t>
  </si>
  <si>
    <t xml:space="preserve">     12010115002 Bonos Subordinados </t>
  </si>
  <si>
    <t xml:space="preserve">          [JAO] FINANCIERA PARAGUAYO JAPONESA</t>
  </si>
  <si>
    <t xml:space="preserve">          [RIO] FINANCIERA RÍO S.A.E.C.A.</t>
  </si>
  <si>
    <t xml:space="preserve">               PYBRO01F9085</t>
  </si>
  <si>
    <t xml:space="preserve">          [SUD] SUDAMERIS BANK S.A.E.C.A.</t>
  </si>
  <si>
    <t xml:space="preserve">               PYSUD01F4473</t>
  </si>
  <si>
    <t xml:space="preserve">               PYSUD01F8599</t>
  </si>
  <si>
    <t xml:space="preserve">          [VIS] VISION BANCO S.A.E.C.A.</t>
  </si>
  <si>
    <t xml:space="preserve">               PYVIS04F7345</t>
  </si>
  <si>
    <t xml:space="preserve">     12010115003 Bonos Corporativos </t>
  </si>
  <si>
    <t xml:space="preserve">          [CEC] CECON S.A.E.</t>
  </si>
  <si>
    <t xml:space="preserve">               PYCEC03F1369</t>
  </si>
  <si>
    <t xml:space="preserve">               PYCEC01F0454</t>
  </si>
  <si>
    <t xml:space="preserve">          [CMF] COMFAR S.A.E.C.A.</t>
  </si>
  <si>
    <t xml:space="preserve">               PYCMF01F3679</t>
  </si>
  <si>
    <t xml:space="preserve">          [FRI] FRIGORIFICO CONCEPCION S.A.</t>
  </si>
  <si>
    <t xml:space="preserve">               PYFRI10F0780</t>
  </si>
  <si>
    <t xml:space="preserve">          [FSU] FIDEICOMISO LA SUSANA</t>
  </si>
  <si>
    <t xml:space="preserve">               PYFSU05F0400</t>
  </si>
  <si>
    <t xml:space="preserve">          [HIL] HILAGRO S.A.</t>
  </si>
  <si>
    <t xml:space="preserve">               PYHIL01F3102</t>
  </si>
  <si>
    <t xml:space="preserve">          [ITI] ITTI S.A.E.C.A.</t>
  </si>
  <si>
    <t xml:space="preserve">               PYITI04F2680</t>
  </si>
  <si>
    <t xml:space="preserve">               PYITI01F5660</t>
  </si>
  <si>
    <t xml:space="preserve">          [NOV] LIBRERÍA Y PAPELERÍA NOVA SOCIEDAD ANÓNIMA</t>
  </si>
  <si>
    <t xml:space="preserve">               PYNOV01F4821</t>
  </si>
  <si>
    <t xml:space="preserve">          [TEL] TELEFONICA CELULAR DEL PARAGUAY S.A.E.</t>
  </si>
  <si>
    <t xml:space="preserve">          [ITAU] BANCO ITAÚ PARAGUAY S.A.</t>
  </si>
  <si>
    <t xml:space="preserve">     12010125001 Bonos en el exterior</t>
  </si>
  <si>
    <t xml:space="preserve">               USP4R54KAA49</t>
  </si>
  <si>
    <t xml:space="preserve">     12020131001 Acciones Pref. Cart. - SAECA </t>
  </si>
  <si>
    <t xml:space="preserve">          [CON] BANCO CONTINENTAL S.A.E.C.A.</t>
  </si>
  <si>
    <t xml:space="preserve">               Indefinido</t>
  </si>
  <si>
    <t xml:space="preserve">     12020131002 Acciones Pref. Desmat. - SAECA</t>
  </si>
  <si>
    <t xml:space="preserve">          [ELE] ELECTROBAN S.A.E.C.A.</t>
  </si>
  <si>
    <t xml:space="preserve">               PYELEP0V0129</t>
  </si>
  <si>
    <t xml:space="preserve">               PYSUDP0V3878</t>
  </si>
  <si>
    <t xml:space="preserve">     12020131003 Acciones Ord. Cart. - SAECA </t>
  </si>
  <si>
    <t xml:space="preserve">          [BEP] Bepsa del Parguay SAECA</t>
  </si>
  <si>
    <t xml:space="preserve">               CO</t>
  </si>
  <si>
    <t>Titulos Renta Fija</t>
  </si>
  <si>
    <t>Titulos Renta Variable</t>
  </si>
  <si>
    <t xml:space="preserve">f) Créditos  </t>
  </si>
  <si>
    <t xml:space="preserve">a-      Documentos y cuentas por cobrar: </t>
  </si>
  <si>
    <t>Período Anterior Gs.</t>
  </si>
  <si>
    <t>Documentos a cobrar – Dividendos</t>
  </si>
  <si>
    <t>Documentos a cobrar – Funcionarios</t>
  </si>
  <si>
    <t>Totales</t>
  </si>
  <si>
    <t xml:space="preserve">b-      Deudores Varios: </t>
  </si>
  <si>
    <t xml:space="preserve"> CONCEPTO</t>
  </si>
  <si>
    <t>Anticipo a Proveedores</t>
  </si>
  <si>
    <t>Deudores por Operaciones</t>
  </si>
  <si>
    <t xml:space="preserve">c-      Deudores por Intermediación  </t>
  </si>
  <si>
    <t>Daniel Moreno</t>
  </si>
  <si>
    <t>Rodney Russell Banks</t>
  </si>
  <si>
    <t>Cheng Fang Hsiao</t>
  </si>
  <si>
    <t>g) Bienes de Uso</t>
  </si>
  <si>
    <t>CUENTAS</t>
  </si>
  <si>
    <t>VALORES DE ORIGEN</t>
  </si>
  <si>
    <t>DEPRECIACIONES</t>
  </si>
  <si>
    <t>Valores al  inicio del  ejercicio</t>
  </si>
  <si>
    <t>Altas</t>
  </si>
  <si>
    <t>Bajas</t>
  </si>
  <si>
    <t>Revalúo del período</t>
  </si>
  <si>
    <t>Valores al cierre del período</t>
  </si>
  <si>
    <t>Acumuladas al inicio del ejercicio</t>
  </si>
  <si>
    <t>Deprecia- ción del período</t>
  </si>
  <si>
    <t>Acumuladas al cierre</t>
  </si>
  <si>
    <t>Neto resultante</t>
  </si>
  <si>
    <t>Muebles y útiles</t>
  </si>
  <si>
    <t>Equipos</t>
  </si>
  <si>
    <t>Rodados</t>
  </si>
  <si>
    <t>Totales período actual</t>
  </si>
  <si>
    <t>Totales  período anterior</t>
  </si>
  <si>
    <t>h) Cargos Diferidos</t>
  </si>
  <si>
    <t>s/ Movimiento</t>
  </si>
  <si>
    <t>i) Activos Intangibles</t>
  </si>
  <si>
    <t>SALDO</t>
  </si>
  <si>
    <t>INICIAL</t>
  </si>
  <si>
    <t>AUMENTOS</t>
  </si>
  <si>
    <t>AMORTIZACIONES</t>
  </si>
  <si>
    <t>NETO FINAL</t>
  </si>
  <si>
    <t>Programas</t>
  </si>
  <si>
    <t>Total actual</t>
  </si>
  <si>
    <t>Total período anterior</t>
  </si>
  <si>
    <t>j) Otros Activos</t>
  </si>
  <si>
    <t>a-      Otros Activos Corrientes</t>
  </si>
  <si>
    <t xml:space="preserve">  CONCEPTO</t>
  </si>
  <si>
    <t>Anticipo Impuesto a la Renta</t>
  </si>
  <si>
    <t>Retenciones de IVA</t>
  </si>
  <si>
    <t>IVA Credito Fiscal - 10%</t>
  </si>
  <si>
    <t>Retenciones IDU</t>
  </si>
  <si>
    <t>Aranceles - BVPASA a Vencer</t>
  </si>
  <si>
    <t>Licencias Informaticas a Vencer</t>
  </si>
  <si>
    <t>Intereses a Vencer</t>
  </si>
  <si>
    <t>Otros Activos Corrientes</t>
  </si>
  <si>
    <t>Gastos a Recuperar / Seguro contra Fraude</t>
  </si>
  <si>
    <t>Seguros a Devengar CBSA</t>
  </si>
  <si>
    <t>Seguros a Devengar Edificios</t>
  </si>
  <si>
    <t>b-      Otros Activos No Corrientes</t>
  </si>
  <si>
    <t>Deudores En Gestión De Cobro – Morosos O Similares</t>
  </si>
  <si>
    <t>Otros deudores Varios a recuperar</t>
  </si>
  <si>
    <t xml:space="preserve">k) Préstamos Financieros (Pasivo Corriente) </t>
  </si>
  <si>
    <t>a-      Préstamos:</t>
  </si>
  <si>
    <t xml:space="preserve">PRESTAMOS </t>
  </si>
  <si>
    <t>Período Actual en Gs.</t>
  </si>
  <si>
    <t>Período anterior en Gs.</t>
  </si>
  <si>
    <t>Bancop S.A.</t>
  </si>
  <si>
    <t>b-      Intereses a pagar:</t>
  </si>
  <si>
    <t>INTERESES A PAGAR</t>
  </si>
  <si>
    <t>Bancop S.A. Intereses no devengados</t>
  </si>
  <si>
    <t>c-      Sobregiros bancarios:</t>
  </si>
  <si>
    <t>SOBREGIRO BANCARIO</t>
  </si>
  <si>
    <t>-</t>
  </si>
  <si>
    <t>d-      Préstamos Porcion no corriente:</t>
  </si>
  <si>
    <t xml:space="preserve">l) Documentos y Cuentas por pagar (Pasivo Corriente) </t>
  </si>
  <si>
    <t>Período anterior Gs.</t>
  </si>
  <si>
    <t>PCG Auditores - Consultores</t>
  </si>
  <si>
    <t>m) Acreedores por Intermediación:</t>
  </si>
  <si>
    <t>BVPASA - ( Aranceles )</t>
  </si>
  <si>
    <t>n) Administración de Cartera (corto y largo plazo)</t>
  </si>
  <si>
    <t>HCW</t>
  </si>
  <si>
    <t>o) Cuentas a pagar a personas y empresas relacionadas (corto y largo plazo)</t>
  </si>
  <si>
    <t>Rodney Banks</t>
  </si>
  <si>
    <t>-           Carlos Martin Santiago  Storm Garcete</t>
  </si>
  <si>
    <t>-           Jorge Storm</t>
  </si>
  <si>
    <t>p) Obligaciones por contrato de Underwriting (corto y largo plazo)</t>
  </si>
  <si>
    <t>No posee</t>
  </si>
  <si>
    <t>q) Otros Pasivos (Pasivo Corriente)</t>
  </si>
  <si>
    <t xml:space="preserve">Acreedores Títulos Renta Fija Bonos subordinados  en Repo </t>
  </si>
  <si>
    <t>Tarjeta Empresarial</t>
  </si>
  <si>
    <t xml:space="preserve">Aguinaldos a pagar </t>
  </si>
  <si>
    <t xml:space="preserve">Acreed. por negoc. - Bonos subordinados (Repo) </t>
  </si>
  <si>
    <t>Otros Pasivos Corrientes</t>
  </si>
  <si>
    <t>Provisiones (Pasivo Corriente)</t>
  </si>
  <si>
    <t>-           Cliente Nro.1049</t>
  </si>
  <si>
    <t>-           Cliente Nro.1771</t>
  </si>
  <si>
    <t>-           Cliente Nro.9753</t>
  </si>
  <si>
    <t>r) Saldos y transacciones con personas y empresas relacionadas (Corriente y No Corriente)</t>
  </si>
  <si>
    <t>r.1)  Saldos con personas u empresas relacionadas</t>
  </si>
  <si>
    <t>PARTE RELACIONADA</t>
  </si>
  <si>
    <t>RELACION</t>
  </si>
  <si>
    <t>Salarios a Pagar</t>
  </si>
  <si>
    <t>Presidente</t>
  </si>
  <si>
    <t>vicepresidente</t>
  </si>
  <si>
    <t>r.2)  Transacciones con personas u empresas relacionadas</t>
  </si>
  <si>
    <t>Ingresos</t>
  </si>
  <si>
    <t>Colocacion de Titulos RF / RV</t>
  </si>
  <si>
    <t>Comisiones por operaciones</t>
  </si>
  <si>
    <t>Vice- Presidente</t>
  </si>
  <si>
    <t>Egresos</t>
  </si>
  <si>
    <t>Remuneracion Personal Superior</t>
  </si>
  <si>
    <t>Comisiones s/ Ventas</t>
  </si>
  <si>
    <t>s) Resultado con personas y empresas vinculadas</t>
  </si>
  <si>
    <t>s/ Movimientos a informar</t>
  </si>
  <si>
    <t>t) Patrimonio</t>
  </si>
  <si>
    <t>SALDO AL INICIO DEL PERIODO ANTERIOR G.</t>
  </si>
  <si>
    <t>DISMINUCIÓN</t>
  </si>
  <si>
    <t>SALDO AL CIERRE DEL PERIODO G.</t>
  </si>
  <si>
    <t>BVPASA Accion</t>
  </si>
  <si>
    <t>Prima por Emisión</t>
  </si>
  <si>
    <t>Aporte de Capital</t>
  </si>
  <si>
    <t>Reservas</t>
  </si>
  <si>
    <t>Resultados del Ejercicio</t>
  </si>
  <si>
    <t>TOTAL</t>
  </si>
  <si>
    <t>u) Previsiones</t>
  </si>
  <si>
    <t xml:space="preserve">v) Ingresos Operativos </t>
  </si>
  <si>
    <t>Ingresos por operaciones y servicios a personas relacionadas</t>
  </si>
  <si>
    <t>Período Actual</t>
  </si>
  <si>
    <t xml:space="preserve">Igual Período de año </t>
  </si>
  <si>
    <t xml:space="preserve"> en Gs.</t>
  </si>
  <si>
    <t>anterior en Gs.</t>
  </si>
  <si>
    <t>Venta - Bonos Corporativos (Partes Vinculadas)</t>
  </si>
  <si>
    <t xml:space="preserve">Otros Ingresos Operativos </t>
  </si>
  <si>
    <t>Venta - R.V.  Agentes del M.V.</t>
  </si>
  <si>
    <t xml:space="preserve">Venta - Bonos Corporativos </t>
  </si>
  <si>
    <t>Venta - Bonos Financieros</t>
  </si>
  <si>
    <t>Venta - Bonos Subordinados</t>
  </si>
  <si>
    <t>Venta de CDA</t>
  </si>
  <si>
    <t xml:space="preserve">Com. cob. por Op. de intermed. extrabursátil - R.F. </t>
  </si>
  <si>
    <t>Ingresos por Servicios de Rep. De Tenedores</t>
  </si>
  <si>
    <t xml:space="preserve">Venta - Bonos en el exterior </t>
  </si>
  <si>
    <t xml:space="preserve">Com. cob. por Op. de intermed. extrabursátil - R.V. </t>
  </si>
  <si>
    <t>Otros ingresos de operación</t>
  </si>
  <si>
    <t>Comisiones por referencias</t>
  </si>
  <si>
    <t>Ingresos por ajustes y redondeos</t>
  </si>
  <si>
    <t>Total General</t>
  </si>
  <si>
    <t>w) Otros gastos operativos, de comercialización y de administración</t>
  </si>
  <si>
    <t>Aranceles por Negociación Bolsa de Valores</t>
  </si>
  <si>
    <t>Concepto</t>
  </si>
  <si>
    <t xml:space="preserve">Período Actual </t>
  </si>
  <si>
    <t xml:space="preserve"> Igual Período de año  </t>
  </si>
  <si>
    <t xml:space="preserve">      anterior en Gs.</t>
  </si>
  <si>
    <t>Arancel Bolsa de Valores por R.V. SEN</t>
  </si>
  <si>
    <t>Arancel Bolsa de Valores por Renta Fija SEN</t>
  </si>
  <si>
    <t>Arancel Bolsa de Valores por Pacto (Repo)</t>
  </si>
  <si>
    <t>Arancel Bolsa de Valores por R.V. - Tradicional</t>
  </si>
  <si>
    <t>Fondo de garantía - BVPASA</t>
  </si>
  <si>
    <t>Servicio SEN / BVA</t>
  </si>
  <si>
    <t>Aranceles – CNV y SEPRELAD</t>
  </si>
  <si>
    <t xml:space="preserve">Otros Gastos Operativos  </t>
  </si>
  <si>
    <t>Costo de venta - R.V. Agentes del M.V.</t>
  </si>
  <si>
    <t>Costo por venta de Bonos Corporativos</t>
  </si>
  <si>
    <t>Costo por venta de Bonos Financieros</t>
  </si>
  <si>
    <t>Costo por venta de Bonos Subordinados</t>
  </si>
  <si>
    <t>Costo por venta de Bonos Corporativos (Partes Vinculadas)</t>
  </si>
  <si>
    <t>Costo por venta de CDA</t>
  </si>
  <si>
    <t>Costo por venta de Bonos en el exterior</t>
  </si>
  <si>
    <t>Iva Costo</t>
  </si>
  <si>
    <t>Otros Gastos de Comercialización</t>
  </si>
  <si>
    <t>Gastos de movilidad</t>
  </si>
  <si>
    <t>Útiles de oficina</t>
  </si>
  <si>
    <t>Primas pag. -  Bonos Subordinados  (Repo)</t>
  </si>
  <si>
    <t>Primas pag. -  Bonos Corporativos (Repo)</t>
  </si>
  <si>
    <t>Primas pag. -  Bonos Financieros (Repo)</t>
  </si>
  <si>
    <t>Comisiones pagadas a otras entidades por intermediación</t>
  </si>
  <si>
    <t>Descuentos Concedidos</t>
  </si>
  <si>
    <t xml:space="preserve">Com. pag. asesores independientes </t>
  </si>
  <si>
    <t>Otros gastos de operación</t>
  </si>
  <si>
    <t>Otros gastos de comercialización</t>
  </si>
  <si>
    <t>Comisiones Pagadas sobre Ventas</t>
  </si>
  <si>
    <t xml:space="preserve">Otros Gastos de Administración </t>
  </si>
  <si>
    <t>Sueldos y jornales</t>
  </si>
  <si>
    <t>Aporte patronal</t>
  </si>
  <si>
    <t>Aguinaldos pagados</t>
  </si>
  <si>
    <t>Indemnizaciones pagadas</t>
  </si>
  <si>
    <t>Vacaciones pagadas</t>
  </si>
  <si>
    <t>Honorarios profesionales</t>
  </si>
  <si>
    <t>Impuestos, Patentes y Tasas</t>
  </si>
  <si>
    <t>Gtos. De Representación</t>
  </si>
  <si>
    <t>Alquileres</t>
  </si>
  <si>
    <t>Agua, Luz y Telefono</t>
  </si>
  <si>
    <t>Comisiones y gastos bancarios operacionales</t>
  </si>
  <si>
    <t>Multas y recargos</t>
  </si>
  <si>
    <t>Intereses Pagados</t>
  </si>
  <si>
    <t>Capacitación al Personal</t>
  </si>
  <si>
    <t>Servicios de seguridad informática</t>
  </si>
  <si>
    <t>Seguridad y vigilancia</t>
  </si>
  <si>
    <t xml:space="preserve">Gastos no deducibles                     </t>
  </si>
  <si>
    <t>Viáticos</t>
  </si>
  <si>
    <t>Otros gastos de administración</t>
  </si>
  <si>
    <t>Comisiones y gastos bancarios sobre operaciones crediticias</t>
  </si>
  <si>
    <t>x) Otros Ingresos y Egresos</t>
  </si>
  <si>
    <t>a-      Otros Ingresos:</t>
  </si>
  <si>
    <t>Igual Período de año anterior en Gs.</t>
  </si>
  <si>
    <t>Ingresos Varios</t>
  </si>
  <si>
    <t>Dividendos Cobrados</t>
  </si>
  <si>
    <t>Recupero de Gastos BVA</t>
  </si>
  <si>
    <t>Ingresos fondo de garantía Bolsa de Valores</t>
  </si>
  <si>
    <t xml:space="preserve"> Ingresos por serv. - Adm. de cartera</t>
  </si>
  <si>
    <t>Comisiones Cobradas</t>
  </si>
  <si>
    <t xml:space="preserve"> Ingresos por serv. - Rep. de Oblig.</t>
  </si>
  <si>
    <t xml:space="preserve">Ingresos por serv. - Custodia de títulos valores </t>
  </si>
  <si>
    <t>Descuentos Obtenidos</t>
  </si>
  <si>
    <t>Totales:</t>
  </si>
  <si>
    <t>b-      Otros Egresos:</t>
  </si>
  <si>
    <t>Reserva Legal del Ejercicio</t>
  </si>
  <si>
    <t>y) Resultados Financieros</t>
  </si>
  <si>
    <t>a-      Intereses cobrados:</t>
  </si>
  <si>
    <t>Inereses Bancarios</t>
  </si>
  <si>
    <t>Int. cob. - Instr. en repo</t>
  </si>
  <si>
    <t xml:space="preserve"> Int. cob. - Instr. de cartera propia R.F.</t>
  </si>
  <si>
    <t>Rendimiento - Fondo mutuo</t>
  </si>
  <si>
    <t>Otros Ingresos Financieros</t>
  </si>
  <si>
    <t>b-      Intereses pagados:</t>
  </si>
  <si>
    <t>Préstamo Bancop SA</t>
  </si>
  <si>
    <t xml:space="preserve">Préstamos </t>
  </si>
  <si>
    <t xml:space="preserve">z) Resultados Extraordinarios </t>
  </si>
  <si>
    <t>No Aplicable</t>
  </si>
  <si>
    <t>6)</t>
  </si>
  <si>
    <t>Información referente a contingencias y compromisos.</t>
  </si>
  <si>
    <t>a) Compromisos directos</t>
  </si>
  <si>
    <t>b) Contingencias Legales</t>
  </si>
  <si>
    <t>c) Garantías constituidas: Póliza de Caución / Garantía de Desempeño Profesional</t>
  </si>
  <si>
    <t>Detalle de la Póliza</t>
  </si>
  <si>
    <t>Compañía de Seguro :</t>
  </si>
  <si>
    <t>Tajy Propiedad Cooperativa S.A. De Seguros</t>
  </si>
  <si>
    <t>Número de Póliza :</t>
  </si>
  <si>
    <t>1514001086-1</t>
  </si>
  <si>
    <t>Asegurado :</t>
  </si>
  <si>
    <t>Bolsa de Valores y Productos de Asunción S.A.</t>
  </si>
  <si>
    <t>Tomador:</t>
  </si>
  <si>
    <t>Capital Markets Casa de Bolsa S.A.</t>
  </si>
  <si>
    <t>Fecha de emisión :</t>
  </si>
  <si>
    <t>Vigencia desde :</t>
  </si>
  <si>
    <t>Vigencia hasta :</t>
  </si>
  <si>
    <t>Plazo en días :</t>
  </si>
  <si>
    <t>Capital máximo asegurado :</t>
  </si>
  <si>
    <t xml:space="preserve">7) </t>
  </si>
  <si>
    <t>Hechos posteriores al cierre del ejercicio.</t>
  </si>
  <si>
    <t>No existen hechos posteriores al cierre del ejercicio que impliquen alteraciones significativas a la estructura patrimonial y resultado del ejercicio.</t>
  </si>
  <si>
    <t xml:space="preserve">8) </t>
  </si>
  <si>
    <t>Limitación a la libre disponibilidad de los activos o del patrimonio y cualquier restricción al derecho de propiedad.</t>
  </si>
  <si>
    <t>La firma cuenta  con la libre disposicion  de su patrimonio.</t>
  </si>
  <si>
    <t>9)</t>
  </si>
  <si>
    <t>Cambios Contables.</t>
  </si>
  <si>
    <t>Con referencia a la contabilizacion de ventas de ttitutlos / Valores Financieros, se refleja actualmente solo los montos netos de ganancia/perdida</t>
  </si>
  <si>
    <t>10)</t>
  </si>
  <si>
    <t>Restricciones para distribución de utilidades.</t>
  </si>
  <si>
    <t>11)</t>
  </si>
  <si>
    <t>Sanciones.</t>
  </si>
  <si>
    <t>No Posee sanciones con la Comision Nacional de Valores u otras entidades fiscalizadoras.</t>
  </si>
  <si>
    <t xml:space="preserve">INFORMACION ADICIONAL DE LA ENTIDAD </t>
  </si>
  <si>
    <t>Información al 30 /06 /2025</t>
  </si>
  <si>
    <t>            IDENTIFICACIÓN</t>
  </si>
  <si>
    <t>Razón Social:</t>
  </si>
  <si>
    <t>RUC N°</t>
  </si>
  <si>
    <t>80009706-8</t>
  </si>
  <si>
    <t>Registro CNV:</t>
  </si>
  <si>
    <t>122/07</t>
  </si>
  <si>
    <t>Código Bolsa:</t>
  </si>
  <si>
    <t>Dirección Oficina Principal:</t>
  </si>
  <si>
    <t>Tte. Nuñez 295 entre El Dorado y Tte. Ricardo Cocco</t>
  </si>
  <si>
    <t>Teléfono:</t>
  </si>
  <si>
    <t>021-201 255</t>
  </si>
  <si>
    <t>Email:</t>
  </si>
  <si>
    <t>info@capitalmarkets.com.py</t>
  </si>
  <si>
    <t>Sitio Página Web:</t>
  </si>
  <si>
    <t xml:space="preserve"> www.capitalmarkets.com.py</t>
  </si>
  <si>
    <t>Domicilio Legal:</t>
  </si>
  <si>
    <t xml:space="preserve">            ANTECEDENTES DE CONSTITUCIÓN </t>
  </si>
  <si>
    <t>MODIFICACIÓN DE ESTATUTO SOCIAL. Por Escritura Publica N. 57 (cincuenta y siete) del 16102006 ante el Esc. Ana Maria Zubizarreta, titular del Reg. 896, se trascribió Acta de Asamblea Extraordinaria de BOLPAR CASA DE BOLSA S.A. de fecha 29042006: Cambio de Denominación Social a  CAPITAL MARKETS CASA DE BOLSA SOCIEDAD ANONIMA, Inscripta en la Dirección Gral. de los Reg. Públicos. Dir. de Pers. Jur. y Asoc., matricula Jurídica N. 1986, serie Comercial, bajo el N 79, Folio 773 en fecha 15/02/2007, y la Dirección General de los Registros Públicos, Sección Comercial, matricula comercial N. 1986, bajo el Nº 209, folio 2174, en fecha 16/03/2007.    Posteriormente por Escritura Publica N° 90 (noventa) del 16072020, ante el Esc. Luis Alfredo Robles titular del Reg. 721se transcribio el Acta Extraordinaria de Asamblea N° 04 con el objetivo del aumento de capital social . Posteriormente por escritura N° 43 (cuarenta y tres) del04082023, ante el Escribado Luis Alfredo Robles Titual del Reg. 721 se transcribio el acta de samblea Extraordinaria n°5 con el objetivo de modificar el estatuto a los efectos de dar cumplimiento  a lo establecido een el Reglamento General  de Mercado de Valores N°35 del 09-02-2023.</t>
  </si>
  <si>
    <t xml:space="preserve">            ADMINISTRACION </t>
  </si>
  <si>
    <t>CARGO</t>
  </si>
  <si>
    <t>NOMBRE Y APELLIDO</t>
  </si>
  <si>
    <t>Representantes Legales</t>
  </si>
  <si>
    <t xml:space="preserve">Daniel Andrés Moreno Bogarín </t>
  </si>
  <si>
    <t>Vicepresidente</t>
  </si>
  <si>
    <t>Rodney Russell Banks Magnani</t>
  </si>
  <si>
    <t>Director Titular</t>
  </si>
  <si>
    <t>Fernando Javier Villamayor Bogarin</t>
  </si>
  <si>
    <t>Director Suplente</t>
  </si>
  <si>
    <t>Rómulo Chang Ming Yuan</t>
  </si>
  <si>
    <t>Matias Andrés Moreno Pérez</t>
  </si>
  <si>
    <t>Sindico</t>
  </si>
  <si>
    <t>Juan Manuel Romero</t>
  </si>
  <si>
    <t>Sindico Suplente</t>
  </si>
  <si>
    <t>Javier Eduardo Benitez Pereira</t>
  </si>
  <si>
    <t>Plana Ejecutiva</t>
  </si>
  <si>
    <t xml:space="preserve">Presidente </t>
  </si>
  <si>
    <t>Auditoría Interna</t>
  </si>
  <si>
    <t>Claudia Roa</t>
  </si>
  <si>
    <t>Contador</t>
  </si>
  <si>
    <t>Dora Busto de Arzamendia</t>
  </si>
  <si>
    <t>AUDITOR EXTERNO INDEPENDIENTE</t>
  </si>
  <si>
    <t>Nombre:</t>
  </si>
  <si>
    <t>RUC:</t>
  </si>
  <si>
    <t>80020816-1</t>
  </si>
  <si>
    <t>1186/09</t>
  </si>
  <si>
    <t>Dirección:</t>
  </si>
  <si>
    <t>Yegros N° 3144</t>
  </si>
  <si>
    <t>(021) 203 965</t>
  </si>
  <si>
    <t xml:space="preserve">            CAPITAL Y PROPIEDAD </t>
  </si>
  <si>
    <t>PERSONAS Y EMPRESAS VINCULADAS</t>
  </si>
  <si>
    <t>Nombre</t>
  </si>
  <si>
    <t>Cargo</t>
  </si>
  <si>
    <t>Fernando Javier Villamayor Bogarín</t>
  </si>
  <si>
    <t xml:space="preserve">Director  </t>
  </si>
  <si>
    <t>Auditor Interno</t>
  </si>
  <si>
    <t xml:space="preserve">CAPITAL Y PROPIEDAD </t>
  </si>
  <si>
    <t xml:space="preserve">* Articulo N° 5 del Estatuto Social: El capital social se fija en la cantidad de Guaraníes seis mil quinientos millones (G.6.500.000.000), distribuido en treinta y cinco mil (35.000) acciones ordinarias, nominativas endosables, de valor nominal de Guaraníes cien mil (G. 100.000) cada una. distribuidas en 50 series de 200 acciones cada una, 5 series de 5000 acciones, caracterizada por numeros romanos para las series y dentro de las mismas arabigos para las acciones y Treinta mil (30,000) acciones preferidas nominaticas  endosables </t>
  </si>
  <si>
    <t>Capital Social</t>
  </si>
  <si>
    <t>Capital Emitido</t>
  </si>
  <si>
    <t>Capital Suscripto e Integrado</t>
  </si>
  <si>
    <t>Capital a Integrar</t>
  </si>
  <si>
    <t>CUADRO DE  CAPITAL SUSCRIPTO E INTEGRADO</t>
  </si>
  <si>
    <t>Accionista</t>
  </si>
  <si>
    <t>Serie</t>
  </si>
  <si>
    <t>Titulo N°</t>
  </si>
  <si>
    <t>Del</t>
  </si>
  <si>
    <t>Al</t>
  </si>
  <si>
    <t>Clase</t>
  </si>
  <si>
    <t>Cantidad de acciones</t>
  </si>
  <si>
    <t>Cantidad de votos</t>
  </si>
  <si>
    <t>% PARTIC.CAPITAL INTEGRADO</t>
  </si>
  <si>
    <t>Alberto Acosta</t>
  </si>
  <si>
    <t>II</t>
  </si>
  <si>
    <t>Ordinaria</t>
  </si>
  <si>
    <t>XI</t>
  </si>
  <si>
    <t>LI</t>
  </si>
  <si>
    <t>Eleonora Scavone</t>
  </si>
  <si>
    <t>X</t>
  </si>
  <si>
    <t>XXXIII</t>
  </si>
  <si>
    <t>XXXVI</t>
  </si>
  <si>
    <t>XXXXIV</t>
  </si>
  <si>
    <t>XXXXV</t>
  </si>
  <si>
    <t>Elizabeth Yegros</t>
  </si>
  <si>
    <t>IV</t>
  </si>
  <si>
    <t>Emerging MC</t>
  </si>
  <si>
    <t>III</t>
  </si>
  <si>
    <t>XXXIV</t>
  </si>
  <si>
    <t>XXXVII</t>
  </si>
  <si>
    <t>XXXVIII</t>
  </si>
  <si>
    <t>XXXXVI</t>
  </si>
  <si>
    <t>Hernán Velilla</t>
  </si>
  <si>
    <t>XXXIX</t>
  </si>
  <si>
    <t>XXXX</t>
  </si>
  <si>
    <t>LII</t>
  </si>
  <si>
    <t>Jorge Denis</t>
  </si>
  <si>
    <t>VI</t>
  </si>
  <si>
    <t xml:space="preserve">XXXVI </t>
  </si>
  <si>
    <t>Juan M. Peña</t>
  </si>
  <si>
    <t>V</t>
  </si>
  <si>
    <t>Quantum Fund</t>
  </si>
  <si>
    <t>XXXV</t>
  </si>
  <si>
    <t>Sergio Britos</t>
  </si>
  <si>
    <t>VII</t>
  </si>
  <si>
    <t>SSBank</t>
  </si>
  <si>
    <t>I</t>
  </si>
  <si>
    <t>VIII</t>
  </si>
  <si>
    <t>IX</t>
  </si>
  <si>
    <t>XII</t>
  </si>
  <si>
    <t>LIII</t>
  </si>
  <si>
    <t>Romulo Yuan</t>
  </si>
  <si>
    <t>Wu Ming Chi</t>
  </si>
  <si>
    <t>XIII</t>
  </si>
  <si>
    <t>XIV</t>
  </si>
  <si>
    <t>XV</t>
  </si>
  <si>
    <t>XVI</t>
  </si>
  <si>
    <t>XVII</t>
  </si>
  <si>
    <t>XVIII</t>
  </si>
  <si>
    <t>XIX</t>
  </si>
  <si>
    <t>XX</t>
  </si>
  <si>
    <t>XXI</t>
  </si>
  <si>
    <t>XXII</t>
  </si>
  <si>
    <t>XXIII</t>
  </si>
  <si>
    <t>XXIV</t>
  </si>
  <si>
    <t>XXV</t>
  </si>
  <si>
    <t>XXVI</t>
  </si>
  <si>
    <t>XXVII</t>
  </si>
  <si>
    <t>XXVIII</t>
  </si>
  <si>
    <t>XXIX</t>
  </si>
  <si>
    <t>XXX</t>
  </si>
  <si>
    <t>XXXI</t>
  </si>
  <si>
    <t>XXXII</t>
  </si>
  <si>
    <t>XXXXI</t>
  </si>
  <si>
    <t>XXXXII</t>
  </si>
  <si>
    <t>XXXXIII</t>
  </si>
  <si>
    <t>XXXXVII</t>
  </si>
  <si>
    <t>XXXXVIII</t>
  </si>
  <si>
    <t>XXXXIX</t>
  </si>
  <si>
    <t>L</t>
  </si>
  <si>
    <t>Gabriela Cabral</t>
  </si>
  <si>
    <t>Preferida</t>
  </si>
  <si>
    <t>Ceidor S.R.L</t>
  </si>
  <si>
    <t>Celeste Huergo Vietto</t>
  </si>
  <si>
    <t>Cristian Maximiliano Romero Muller</t>
  </si>
  <si>
    <t>Jorge Alberto Storm Garcete</t>
  </si>
  <si>
    <t>Carlos Martin Santiago Storm Garcete</t>
  </si>
  <si>
    <t>TOTAL GENERAL</t>
  </si>
  <si>
    <t>Distribución de Acciones</t>
  </si>
  <si>
    <t>Porcentaje</t>
  </si>
  <si>
    <t>Ordinarias Nominativas</t>
  </si>
  <si>
    <t>Preferidas Nominativas</t>
  </si>
  <si>
    <t xml:space="preserve">               BD4268</t>
  </si>
  <si>
    <t xml:space="preserve">               PYJAP02F7070</t>
  </si>
  <si>
    <t xml:space="preserve">               PYCMF03F4253</t>
  </si>
  <si>
    <t xml:space="preserve">               PYELE04F7685</t>
  </si>
  <si>
    <t xml:space="preserve">               PYFRI08F9058</t>
  </si>
  <si>
    <t xml:space="preserve">               PYTEL01F2724</t>
  </si>
  <si>
    <t xml:space="preserve">          LLY</t>
  </si>
  <si>
    <t xml:space="preserve">               CP</t>
  </si>
  <si>
    <t xml:space="preserve">          META</t>
  </si>
  <si>
    <t xml:space="preserve">          PANW</t>
  </si>
  <si>
    <t xml:space="preserve">               PYSUDP0V5683</t>
  </si>
  <si>
    <t>CAJA DE VALORES DEL PARAGUAY SOCIEDAD ANÓNIMA</t>
  </si>
  <si>
    <t xml:space="preserve">Com. servicio de custodia </t>
  </si>
  <si>
    <t xml:space="preserve">Acreed. por compra de serv. </t>
  </si>
  <si>
    <t xml:space="preserve"> Deud. por serv. de intermed. bursátil  - R.V.</t>
  </si>
  <si>
    <t>Deud. por serv. de intermed. bursátil - R.F.</t>
  </si>
  <si>
    <t xml:space="preserve">Los presentes Estados Financieros (Balance General, Estado de Resultados, Estado de Flujo de Efectivo y Estado de Variación del Patrimonio Neto) correspondientes al 31/03/2026 fue considerado y aprobado por el directorio </t>
  </si>
  <si>
    <t>3.1.             Los Estados Financieros al 31/03/2026, han sido preparados de acuerdo de acuerdo con Normas de Información Financiera emitidas por el Consejo de Contadores Públicos del Paraguay y
criterios de valuación y exposición dictados por la Comisión Nacional de Valores.</t>
  </si>
  <si>
    <t>ESTADO DE RESULTADOS CORRESPONDIENTE AL 31/03/2026 PRESENTADO EN FORMA COMPARATIVA CON EL  31/03/2025. (En guaraníes)</t>
  </si>
  <si>
    <t>CORRESPONDIENTE AL 31/03/2026 PRESENTADO EN FORMA COMPARATIVA CON EL PERIODO AL  31/03/2025</t>
  </si>
  <si>
    <t>BALANCE GENERAL al 31/03/2026 presentado en forma comparativa con el ejercicio anterior cerrado el 31/12/2025.  (En guaraníes)</t>
  </si>
  <si>
    <t>CORRESPONDIENTE AL 31-03-2026 PRESENTADO EN FORMA COMPARATIVA CON EL PERIODO AL 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</si>
</sst>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00_);_(* \(#,##0.00\);_(* \-??_);_(@_)"/>
    <numFmt numFmtId="165" formatCode="_-* #,##0.00\ _€_-;\-* #,##0.00\ _€_-;_-* \-??\ _€_-;_-@_-"/>
    <numFmt numFmtId="166" formatCode="_ * #,##0_ ;_ * \-#,##0_ ;_ * \-_ ;_ @_ "/>
    <numFmt numFmtId="167" formatCode="#,##0.0000"/>
    <numFmt numFmtId="168" formatCode="_-* #,##0_-;\-* #,##0_-;_-* \-??_-;_-@_-"/>
    <numFmt numFmtId="169" formatCode="_ * #,##0.00_ ;_ * \-#,##0.00_ ;_ * \-_ ;_ @_ "/>
    <numFmt numFmtId="170" formatCode="_-* #,##0.00_-;\-* #,##0.00_-;_-* \-??_-;_-@_-"/>
    <numFmt numFmtId="171" formatCode="m/d/yyyy"/>
    <numFmt numFmtId="172" formatCode="dd/mm/yyyy;@"/>
    <numFmt numFmtId="173" formatCode="&quot;₲ &quot;#,##0"/>
    <numFmt numFmtId="174" formatCode="_-* #,##0\ _€_-;\-* #,##0\ _€_-;_-* \-??\ _€_-;_-@_-"/>
    <numFmt numFmtId="175" formatCode="_-* #,##0_-;\-* #,##0_-;_-* &quot;-&quot;??_-;_-@_-"/>
  </numFmts>
  <fonts count="79" x14ac:knownFonts="1">
    <font>
      <sz val="11"/>
      <color theme="1"/>
      <name val="Calibri"/>
      <family val="2"/>
      <charset val="1"/>
    </font>
    <font>
      <sz val="10"/>
      <name val="Arial"/>
      <family val="2"/>
      <charset val="1"/>
    </font>
    <font>
      <sz val="11"/>
      <color theme="4"/>
      <name val="Arial Nova"/>
      <family val="2"/>
      <charset val="1"/>
    </font>
    <font>
      <sz val="11"/>
      <name val="Calibri"/>
      <family val="2"/>
      <charset val="1"/>
    </font>
    <font>
      <b/>
      <sz val="11"/>
      <color theme="1"/>
      <name val="Arial"/>
      <family val="2"/>
      <charset val="1"/>
    </font>
    <font>
      <b/>
      <sz val="9"/>
      <color theme="4"/>
      <name val="Arial"/>
      <family val="2"/>
      <charset val="1"/>
    </font>
    <font>
      <b/>
      <sz val="9"/>
      <color theme="1"/>
      <name val="Arial"/>
      <family val="2"/>
      <charset val="1"/>
    </font>
    <font>
      <sz val="9"/>
      <name val="Arial"/>
      <family val="2"/>
      <charset val="1"/>
    </font>
    <font>
      <b/>
      <sz val="9"/>
      <name val="Arial"/>
      <family val="2"/>
      <charset val="1"/>
    </font>
    <font>
      <sz val="9"/>
      <color theme="1"/>
      <name val="Arial"/>
      <family val="2"/>
      <charset val="1"/>
    </font>
    <font>
      <sz val="9"/>
      <name val="Calibri"/>
      <family val="2"/>
      <charset val="1"/>
    </font>
    <font>
      <sz val="9"/>
      <color theme="1"/>
      <name val="Calibri"/>
      <family val="2"/>
      <charset val="1"/>
    </font>
    <font>
      <b/>
      <sz val="9"/>
      <color rgb="FFFF0000"/>
      <name val="Arial"/>
      <family val="2"/>
      <charset val="1"/>
    </font>
    <font>
      <sz val="9"/>
      <color theme="4"/>
      <name val="Calibri"/>
      <family val="2"/>
      <charset val="1"/>
    </font>
    <font>
      <b/>
      <sz val="9"/>
      <color theme="4"/>
      <name val="Calibri"/>
      <family val="2"/>
      <charset val="1"/>
    </font>
    <font>
      <b/>
      <u/>
      <sz val="9"/>
      <color theme="1"/>
      <name val="Calibri"/>
      <family val="2"/>
      <charset val="1"/>
    </font>
    <font>
      <b/>
      <u/>
      <sz val="9"/>
      <name val="Calibri"/>
      <family val="2"/>
      <charset val="1"/>
    </font>
    <font>
      <b/>
      <sz val="10"/>
      <color theme="1"/>
      <name val="Arial Nova"/>
      <family val="2"/>
      <charset val="1"/>
    </font>
    <font>
      <b/>
      <sz val="11"/>
      <color theme="1"/>
      <name val="Calibri"/>
      <family val="2"/>
      <charset val="1"/>
    </font>
    <font>
      <b/>
      <sz val="8"/>
      <color theme="4"/>
      <name val="Calibri"/>
      <family val="2"/>
      <charset val="1"/>
    </font>
    <font>
      <b/>
      <sz val="9"/>
      <color rgb="FF000000"/>
      <name val="Calibri"/>
      <family val="2"/>
      <charset val="1"/>
    </font>
    <font>
      <b/>
      <u/>
      <sz val="9"/>
      <color rgb="FF000000"/>
      <name val="Calibri"/>
      <family val="2"/>
      <charset val="1"/>
    </font>
    <font>
      <sz val="9"/>
      <color rgb="FF000000"/>
      <name val="Calibri"/>
      <family val="2"/>
      <charset val="1"/>
    </font>
    <font>
      <i/>
      <sz val="9"/>
      <color rgb="FF000000"/>
      <name val="Calibri"/>
      <family val="2"/>
      <charset val="1"/>
    </font>
    <font>
      <b/>
      <sz val="7"/>
      <color theme="1"/>
      <name val="Arial"/>
      <family val="2"/>
      <charset val="1"/>
    </font>
    <font>
      <b/>
      <sz val="12"/>
      <color theme="1"/>
      <name val="Calibri"/>
      <family val="2"/>
      <charset val="1"/>
    </font>
    <font>
      <b/>
      <sz val="12"/>
      <name val="Calibri"/>
      <family val="2"/>
      <charset val="1"/>
    </font>
    <font>
      <b/>
      <sz val="10"/>
      <color theme="4"/>
      <name val="Calibri"/>
      <family val="2"/>
      <charset val="1"/>
    </font>
    <font>
      <sz val="10"/>
      <color theme="1"/>
      <name val="Calibri"/>
      <family val="2"/>
      <charset val="1"/>
    </font>
    <font>
      <b/>
      <sz val="10"/>
      <color theme="1"/>
      <name val="Calibri"/>
      <family val="2"/>
      <charset val="1"/>
    </font>
    <font>
      <b/>
      <sz val="11"/>
      <name val="Calibri"/>
      <family val="2"/>
      <charset val="1"/>
    </font>
    <font>
      <b/>
      <sz val="10"/>
      <color rgb="FF000000"/>
      <name val="Calibri"/>
      <family val="2"/>
      <charset val="1"/>
    </font>
    <font>
      <b/>
      <sz val="11"/>
      <color rgb="FF000000"/>
      <name val="Calibri"/>
      <family val="2"/>
      <charset val="1"/>
    </font>
    <font>
      <sz val="10"/>
      <color rgb="FF000000"/>
      <name val="Calibri"/>
      <family val="2"/>
      <charset val="1"/>
    </font>
    <font>
      <i/>
      <sz val="10"/>
      <color rgb="FF000000"/>
      <name val="Calibri"/>
      <family val="2"/>
      <charset val="1"/>
    </font>
    <font>
      <b/>
      <sz val="10"/>
      <name val="Calibri"/>
      <family val="2"/>
      <charset val="1"/>
    </font>
    <font>
      <b/>
      <u/>
      <sz val="11"/>
      <color theme="1"/>
      <name val="Calibri"/>
      <family val="2"/>
      <charset val="1"/>
    </font>
    <font>
      <sz val="10"/>
      <color theme="1"/>
      <name val="Arial Nova"/>
      <family val="2"/>
      <charset val="1"/>
    </font>
    <font>
      <sz val="10"/>
      <color theme="4"/>
      <name val="Calibri"/>
      <family val="2"/>
      <charset val="1"/>
    </font>
    <font>
      <b/>
      <u/>
      <sz val="10"/>
      <color theme="1"/>
      <name val="Arial Nova"/>
      <family val="2"/>
      <charset val="1"/>
    </font>
    <font>
      <b/>
      <sz val="8"/>
      <color theme="1"/>
      <name val="Calibri"/>
      <family val="2"/>
      <charset val="1"/>
    </font>
    <font>
      <sz val="8"/>
      <color theme="1"/>
      <name val="Calibri"/>
      <family val="2"/>
      <charset val="1"/>
    </font>
    <font>
      <sz val="8"/>
      <color rgb="FF000000"/>
      <name val="Calibri"/>
      <family val="2"/>
      <charset val="1"/>
    </font>
    <font>
      <b/>
      <sz val="8"/>
      <color rgb="FF000000"/>
      <name val="Calibri"/>
      <family val="2"/>
      <charset val="1"/>
    </font>
    <font>
      <sz val="7"/>
      <color theme="1"/>
      <name val="Calibri"/>
      <family val="2"/>
      <charset val="1"/>
    </font>
    <font>
      <b/>
      <sz val="11"/>
      <color theme="4"/>
      <name val="Calibri"/>
      <family val="2"/>
      <charset val="1"/>
    </font>
    <font>
      <sz val="10"/>
      <name val="Calibri"/>
      <family val="2"/>
      <charset val="1"/>
    </font>
    <font>
      <sz val="11"/>
      <color rgb="FFFF0000"/>
      <name val="Calibri"/>
      <family val="2"/>
      <charset val="1"/>
    </font>
    <font>
      <b/>
      <sz val="12"/>
      <color theme="4"/>
      <name val="Calibri"/>
      <family val="2"/>
      <charset val="1"/>
    </font>
    <font>
      <sz val="12"/>
      <color theme="1"/>
      <name val="Calibri"/>
      <family val="2"/>
      <charset val="1"/>
    </font>
    <font>
      <sz val="11"/>
      <color theme="0"/>
      <name val="Calibri"/>
      <family val="2"/>
      <charset val="1"/>
    </font>
    <font>
      <b/>
      <sz val="10"/>
      <name val="Arial Nova"/>
      <family val="2"/>
      <charset val="1"/>
    </font>
    <font>
      <b/>
      <i/>
      <sz val="10"/>
      <color theme="1"/>
      <name val="Calibri"/>
      <family val="2"/>
      <charset val="1"/>
    </font>
    <font>
      <b/>
      <i/>
      <sz val="10"/>
      <color theme="1"/>
      <name val="Arial Nova"/>
      <family val="2"/>
      <charset val="1"/>
    </font>
    <font>
      <b/>
      <sz val="11"/>
      <color rgb="FFFF0000"/>
      <name val="Calibri"/>
      <family val="2"/>
      <charset val="1"/>
    </font>
    <font>
      <b/>
      <u/>
      <sz val="11"/>
      <color theme="4"/>
      <name val="Calibri"/>
      <family val="2"/>
      <charset val="1"/>
    </font>
    <font>
      <b/>
      <u/>
      <sz val="10"/>
      <color theme="4"/>
      <name val="Calibri"/>
      <family val="2"/>
      <charset val="1"/>
    </font>
    <font>
      <b/>
      <sz val="10"/>
      <name val="Verdana"/>
      <family val="2"/>
      <charset val="1"/>
    </font>
    <font>
      <sz val="10"/>
      <name val="Arial Nova"/>
      <family val="2"/>
      <charset val="1"/>
    </font>
    <font>
      <b/>
      <i/>
      <sz val="11"/>
      <color rgb="FF000000"/>
      <name val="Calibri"/>
      <family val="2"/>
      <charset val="1"/>
    </font>
    <font>
      <i/>
      <sz val="11"/>
      <color rgb="FF000000"/>
      <name val="Calibri"/>
      <family val="2"/>
      <charset val="1"/>
    </font>
    <font>
      <b/>
      <sz val="9"/>
      <color theme="4"/>
      <name val="Arial Nova"/>
      <family val="2"/>
      <charset val="1"/>
    </font>
    <font>
      <b/>
      <sz val="9"/>
      <color theme="1"/>
      <name val="Arial Nova"/>
      <family val="2"/>
      <charset val="1"/>
    </font>
    <font>
      <sz val="9"/>
      <color theme="1"/>
      <name val="Arial Nova"/>
      <family val="2"/>
      <charset val="1"/>
    </font>
    <font>
      <b/>
      <sz val="9"/>
      <color theme="1"/>
      <name val="Calibri"/>
      <family val="2"/>
      <charset val="1"/>
    </font>
    <font>
      <sz val="9"/>
      <name val="Arial Nova"/>
      <family val="2"/>
      <charset val="1"/>
    </font>
    <font>
      <b/>
      <sz val="8"/>
      <color theme="1"/>
      <name val="Arial Nova"/>
      <family val="2"/>
      <charset val="1"/>
    </font>
    <font>
      <sz val="8"/>
      <color theme="1"/>
      <name val="Arial Nova"/>
      <family val="2"/>
      <charset val="1"/>
    </font>
    <font>
      <b/>
      <sz val="8"/>
      <color theme="4" tint="-0.249977111117893"/>
      <name val="Arial Nova"/>
      <family val="2"/>
      <charset val="1"/>
    </font>
    <font>
      <sz val="11"/>
      <color rgb="FF000000"/>
      <name val="Calibri"/>
      <family val="2"/>
      <charset val="1"/>
    </font>
    <font>
      <sz val="7"/>
      <color theme="1"/>
      <name val="Arial Nova"/>
      <family val="2"/>
      <charset val="1"/>
    </font>
    <font>
      <b/>
      <sz val="11"/>
      <name val="Arial Nova"/>
      <family val="2"/>
      <charset val="1"/>
    </font>
    <font>
      <b/>
      <sz val="10"/>
      <color theme="4"/>
      <name val="Arial Nova"/>
      <family val="2"/>
      <charset val="1"/>
    </font>
    <font>
      <b/>
      <sz val="11"/>
      <color theme="4"/>
      <name val="Arial Nova"/>
      <family val="2"/>
      <charset val="1"/>
    </font>
    <font>
      <sz val="11"/>
      <color theme="1"/>
      <name val="Arial Nova"/>
      <family val="2"/>
      <charset val="1"/>
    </font>
    <font>
      <sz val="11"/>
      <color theme="1"/>
      <name val="Calibri"/>
      <family val="2"/>
      <charset val="1"/>
    </font>
    <font>
      <b/>
      <sz val="11"/>
      <color theme="1"/>
      <name val="Calibri"/>
      <family val="2"/>
    </font>
    <font>
      <sz val="10"/>
      <color theme="1"/>
      <name val="Calibri"/>
      <family val="2"/>
    </font>
    <font>
      <sz val="9"/>
      <name val="Calibri"/>
      <family val="2"/>
    </font>
  </fonts>
  <fills count="10">
    <fill>
      <patternFill patternType="none"/>
    </fill>
    <fill>
      <patternFill patternType="gray125"/>
    </fill>
    <fill>
      <patternFill patternType="solid">
        <fgColor theme="9"/>
        <bgColor rgb="FF339966"/>
      </patternFill>
    </fill>
    <fill>
      <patternFill patternType="solid">
        <fgColor theme="7" tint="0.79989013336588644"/>
        <bgColor rgb="FFF2F2F2"/>
      </patternFill>
    </fill>
    <fill>
      <patternFill patternType="solid">
        <fgColor theme="7" tint="0.39988402966399123"/>
        <bgColor rgb="FFE0BE5A"/>
      </patternFill>
    </fill>
    <fill>
      <patternFill patternType="solid">
        <fgColor theme="0"/>
        <bgColor rgb="FFF2F2F2"/>
      </patternFill>
    </fill>
    <fill>
      <patternFill patternType="solid">
        <fgColor theme="0" tint="-0.14999847407452621"/>
        <bgColor rgb="FFD4D4D4"/>
      </patternFill>
    </fill>
    <fill>
      <patternFill patternType="solid">
        <fgColor rgb="FFF2F2F2"/>
        <bgColor rgb="FFFFFFFF"/>
      </patternFill>
    </fill>
    <fill>
      <patternFill patternType="solid">
        <fgColor rgb="FFD4D4D4"/>
        <bgColor rgb="FFD9D9D9"/>
      </patternFill>
    </fill>
    <fill>
      <patternFill patternType="solid">
        <fgColor rgb="FFE0BE5A"/>
        <bgColor rgb="FFFFD966"/>
      </patternFill>
    </fill>
  </fills>
  <borders count="33">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diagonal/>
    </border>
    <border>
      <left style="thin">
        <color auto="1"/>
      </left>
      <right/>
      <top style="thin">
        <color auto="1"/>
      </top>
      <bottom/>
      <diagonal/>
    </border>
    <border>
      <left style="thin">
        <color auto="1"/>
      </left>
      <right style="thin">
        <color auto="1"/>
      </right>
      <top/>
      <bottom/>
      <diagonal/>
    </border>
    <border>
      <left/>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s>
  <cellStyleXfs count="9">
    <xf numFmtId="0" fontId="0" fillId="0" borderId="0"/>
    <xf numFmtId="164" fontId="75" fillId="0" borderId="0"/>
    <xf numFmtId="9" fontId="75" fillId="0" borderId="0"/>
    <xf numFmtId="164" fontId="1" fillId="0" borderId="0"/>
    <xf numFmtId="165" fontId="75" fillId="0" borderId="0"/>
    <xf numFmtId="166" fontId="75" fillId="0" borderId="0"/>
    <xf numFmtId="0" fontId="1" fillId="0" borderId="0"/>
    <xf numFmtId="166" fontId="75" fillId="0" borderId="0"/>
    <xf numFmtId="0" fontId="50" fillId="2" borderId="0"/>
  </cellStyleXfs>
  <cellXfs count="467">
    <xf numFmtId="0" fontId="0" fillId="0" borderId="0" xfId="0"/>
    <xf numFmtId="0" fontId="27" fillId="4" borderId="1" xfId="0" applyFont="1" applyFill="1" applyBorder="1" applyAlignment="1">
      <alignment horizontal="center" vertical="center"/>
    </xf>
    <xf numFmtId="0" fontId="29" fillId="0" borderId="1" xfId="0" applyFont="1" applyBorder="1" applyAlignment="1">
      <alignment vertical="center" wrapText="1"/>
    </xf>
    <xf numFmtId="0" fontId="27" fillId="4" borderId="1" xfId="0" applyFont="1" applyFill="1" applyBorder="1" applyAlignment="1">
      <alignment vertical="center" wrapText="1"/>
    </xf>
    <xf numFmtId="0" fontId="29" fillId="8"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45" fillId="4" borderId="1" xfId="0" applyFont="1" applyFill="1" applyBorder="1" applyAlignment="1">
      <alignment horizontal="center" vertical="center" wrapText="1"/>
    </xf>
    <xf numFmtId="0" fontId="45" fillId="4" borderId="1" xfId="0" applyFont="1" applyFill="1" applyBorder="1" applyAlignment="1">
      <alignment horizontal="center" vertical="center"/>
    </xf>
    <xf numFmtId="0" fontId="37" fillId="0" borderId="0" xfId="0" applyFont="1" applyAlignment="1">
      <alignment horizontal="left" vertical="center"/>
    </xf>
    <xf numFmtId="0" fontId="17" fillId="0" borderId="0" xfId="0" applyFont="1" applyAlignment="1">
      <alignment horizontal="left" vertical="center"/>
    </xf>
    <xf numFmtId="0" fontId="19" fillId="4" borderId="1" xfId="0" applyFont="1" applyFill="1" applyBorder="1" applyAlignment="1">
      <alignment horizontal="center" vertical="center" wrapText="1"/>
    </xf>
    <xf numFmtId="3" fontId="3" fillId="0" borderId="0" xfId="0" applyNumberFormat="1" applyFont="1"/>
    <xf numFmtId="0" fontId="3" fillId="0" borderId="0" xfId="0" applyFont="1"/>
    <xf numFmtId="0" fontId="6" fillId="0" borderId="3" xfId="0" applyFont="1" applyBorder="1" applyAlignment="1">
      <alignment vertical="center" wrapText="1"/>
    </xf>
    <xf numFmtId="3" fontId="7" fillId="0" borderId="4" xfId="0" applyNumberFormat="1" applyFont="1" applyBorder="1" applyAlignment="1">
      <alignment horizontal="right" vertical="center" wrapText="1"/>
    </xf>
    <xf numFmtId="0" fontId="7" fillId="0" borderId="5" xfId="0" applyFont="1" applyBorder="1" applyAlignment="1">
      <alignment horizontal="right" vertical="center" wrapText="1"/>
    </xf>
    <xf numFmtId="0" fontId="8" fillId="0" borderId="4" xfId="0" applyFont="1" applyBorder="1" applyAlignment="1">
      <alignment vertical="center" wrapText="1"/>
    </xf>
    <xf numFmtId="0" fontId="7" fillId="0" borderId="4" xfId="0" applyFont="1" applyBorder="1" applyAlignment="1">
      <alignment horizontal="right" vertical="center" wrapText="1"/>
    </xf>
    <xf numFmtId="0" fontId="6" fillId="0" borderId="6" xfId="0" applyFont="1" applyBorder="1" applyAlignment="1">
      <alignment vertical="center" wrapText="1"/>
    </xf>
    <xf numFmtId="3" fontId="8" fillId="0" borderId="7" xfId="0" applyNumberFormat="1" applyFont="1" applyBorder="1" applyAlignment="1">
      <alignment horizontal="right" vertical="center" wrapText="1"/>
    </xf>
    <xf numFmtId="3" fontId="8" fillId="0" borderId="8" xfId="0" applyNumberFormat="1" applyFont="1" applyBorder="1" applyAlignment="1">
      <alignment horizontal="right" vertical="center" wrapText="1"/>
    </xf>
    <xf numFmtId="0" fontId="8" fillId="0" borderId="7" xfId="0" applyFont="1" applyBorder="1" applyAlignment="1">
      <alignment vertical="center" wrapText="1"/>
    </xf>
    <xf numFmtId="4" fontId="8" fillId="0" borderId="7" xfId="0" applyNumberFormat="1" applyFont="1" applyBorder="1" applyAlignment="1">
      <alignment horizontal="right" vertical="center" wrapText="1"/>
    </xf>
    <xf numFmtId="0" fontId="9" fillId="0" borderId="6" xfId="0" applyFont="1" applyBorder="1" applyAlignment="1">
      <alignment vertical="center" wrapText="1"/>
    </xf>
    <xf numFmtId="3" fontId="7" fillId="0" borderId="7" xfId="0" applyNumberFormat="1" applyFont="1" applyBorder="1" applyAlignment="1">
      <alignment horizontal="right" vertical="center" wrapText="1"/>
    </xf>
    <xf numFmtId="3" fontId="7" fillId="0" borderId="8" xfId="0" applyNumberFormat="1" applyFont="1" applyBorder="1" applyAlignment="1">
      <alignment horizontal="right" vertical="center" wrapText="1"/>
    </xf>
    <xf numFmtId="0" fontId="7" fillId="0" borderId="7" xfId="0" applyFont="1" applyBorder="1" applyAlignment="1">
      <alignment vertical="center" wrapText="1"/>
    </xf>
    <xf numFmtId="4" fontId="7" fillId="0" borderId="7" xfId="0" applyNumberFormat="1" applyFont="1" applyBorder="1" applyAlignment="1">
      <alignment horizontal="right" vertical="center" wrapText="1"/>
    </xf>
    <xf numFmtId="167" fontId="7" fillId="0" borderId="7" xfId="0" applyNumberFormat="1" applyFont="1" applyBorder="1" applyAlignment="1">
      <alignment horizontal="right" vertical="center" wrapText="1"/>
    </xf>
    <xf numFmtId="0" fontId="7" fillId="0" borderId="8" xfId="0" applyFont="1" applyBorder="1" applyAlignment="1">
      <alignment horizontal="right" vertical="center" wrapText="1"/>
    </xf>
    <xf numFmtId="166" fontId="7" fillId="0" borderId="7" xfId="0" applyNumberFormat="1" applyFont="1" applyBorder="1" applyAlignment="1">
      <alignment horizontal="right" vertical="center" wrapText="1"/>
    </xf>
    <xf numFmtId="0" fontId="10" fillId="0" borderId="7" xfId="0" applyFont="1" applyBorder="1" applyAlignment="1">
      <alignment vertical="top" wrapText="1"/>
    </xf>
    <xf numFmtId="0" fontId="7" fillId="0" borderId="7" xfId="0" applyFont="1" applyBorder="1" applyAlignment="1">
      <alignment horizontal="right" vertical="center" wrapText="1"/>
    </xf>
    <xf numFmtId="0" fontId="10" fillId="0" borderId="6" xfId="0" applyFont="1" applyBorder="1" applyAlignment="1">
      <alignment vertical="top" wrapText="1"/>
    </xf>
    <xf numFmtId="3" fontId="10" fillId="0" borderId="7" xfId="0" applyNumberFormat="1" applyFont="1" applyBorder="1" applyAlignment="1">
      <alignment vertical="top" wrapText="1"/>
    </xf>
    <xf numFmtId="0" fontId="10" fillId="0" borderId="8" xfId="0" applyFont="1" applyBorder="1" applyAlignment="1">
      <alignment vertical="top" wrapText="1"/>
    </xf>
    <xf numFmtId="3" fontId="7" fillId="0" borderId="7" xfId="0" applyNumberFormat="1" applyFont="1" applyBorder="1" applyAlignment="1">
      <alignment vertical="center" wrapText="1"/>
    </xf>
    <xf numFmtId="0" fontId="7" fillId="0" borderId="8" xfId="0" applyFont="1" applyBorder="1" applyAlignment="1">
      <alignment vertical="center" wrapText="1"/>
    </xf>
    <xf numFmtId="0" fontId="9" fillId="0" borderId="7" xfId="0" applyFont="1" applyBorder="1" applyAlignment="1">
      <alignment vertical="center" wrapText="1"/>
    </xf>
    <xf numFmtId="0" fontId="6" fillId="0" borderId="7" xfId="0" applyFont="1" applyBorder="1" applyAlignment="1">
      <alignment vertical="center" wrapText="1"/>
    </xf>
    <xf numFmtId="168" fontId="7" fillId="0" borderId="7" xfId="0" applyNumberFormat="1" applyFont="1" applyBorder="1" applyAlignment="1">
      <alignment horizontal="right" vertical="center" wrapText="1"/>
    </xf>
    <xf numFmtId="0" fontId="9" fillId="0" borderId="6" xfId="0" applyFont="1" applyBorder="1" applyAlignment="1">
      <alignment vertical="center"/>
    </xf>
    <xf numFmtId="3" fontId="0" fillId="0" borderId="7" xfId="0" applyNumberFormat="1" applyBorder="1"/>
    <xf numFmtId="3" fontId="0" fillId="0" borderId="8" xfId="0" applyNumberFormat="1" applyBorder="1"/>
    <xf numFmtId="168" fontId="7" fillId="0" borderId="7" xfId="1" applyNumberFormat="1" applyFont="1" applyBorder="1" applyAlignment="1">
      <alignment horizontal="right" vertical="center" wrapText="1"/>
    </xf>
    <xf numFmtId="0" fontId="11" fillId="0" borderId="6" xfId="0" applyFont="1" applyBorder="1" applyAlignment="1">
      <alignment vertical="top" wrapText="1"/>
    </xf>
    <xf numFmtId="3" fontId="8" fillId="5" borderId="7" xfId="0" applyNumberFormat="1" applyFont="1" applyFill="1" applyBorder="1" applyAlignment="1">
      <alignment horizontal="right" vertical="center" wrapText="1"/>
    </xf>
    <xf numFmtId="0" fontId="8" fillId="0" borderId="7" xfId="0" applyFont="1" applyBorder="1" applyAlignment="1">
      <alignment horizontal="right" vertical="center" wrapText="1"/>
    </xf>
    <xf numFmtId="0" fontId="6" fillId="5" borderId="6" xfId="0" applyFont="1" applyFill="1" applyBorder="1" applyAlignment="1">
      <alignment vertical="center" wrapText="1"/>
    </xf>
    <xf numFmtId="0" fontId="9" fillId="5" borderId="6" xfId="0" applyFont="1" applyFill="1" applyBorder="1" applyAlignment="1">
      <alignment vertical="center" wrapText="1"/>
    </xf>
    <xf numFmtId="0" fontId="12" fillId="5" borderId="6" xfId="0" applyFont="1" applyFill="1" applyBorder="1" applyAlignment="1">
      <alignment vertical="center" wrapText="1"/>
    </xf>
    <xf numFmtId="3" fontId="8" fillId="0" borderId="9" xfId="0" applyNumberFormat="1" applyFont="1" applyBorder="1" applyAlignment="1">
      <alignment horizontal="right" vertical="center" wrapText="1"/>
    </xf>
    <xf numFmtId="4" fontId="8" fillId="5" borderId="9" xfId="0" applyNumberFormat="1" applyFont="1" applyFill="1" applyBorder="1" applyAlignment="1">
      <alignment horizontal="right" vertical="center" wrapText="1"/>
    </xf>
    <xf numFmtId="3" fontId="8" fillId="5" borderId="9" xfId="0" applyNumberFormat="1" applyFont="1" applyFill="1" applyBorder="1" applyAlignment="1">
      <alignment horizontal="right" vertical="center" wrapText="1"/>
    </xf>
    <xf numFmtId="4" fontId="0" fillId="0" borderId="0" xfId="0" applyNumberFormat="1"/>
    <xf numFmtId="0" fontId="15" fillId="0" borderId="1" xfId="0" applyFont="1" applyBorder="1" applyAlignment="1">
      <alignment vertical="center" wrapText="1"/>
    </xf>
    <xf numFmtId="3" fontId="10" fillId="0" borderId="1" xfId="0" applyNumberFormat="1" applyFont="1" applyBorder="1" applyAlignment="1">
      <alignment vertical="center" wrapText="1"/>
    </xf>
    <xf numFmtId="0" fontId="16" fillId="0" borderId="1" xfId="0" applyFont="1" applyBorder="1" applyAlignment="1">
      <alignment vertical="center" wrapText="1"/>
    </xf>
    <xf numFmtId="0" fontId="11" fillId="0" borderId="14" xfId="0" applyFont="1" applyBorder="1" applyAlignment="1">
      <alignment vertical="center" wrapText="1"/>
    </xf>
    <xf numFmtId="3" fontId="10" fillId="0" borderId="15" xfId="0" applyNumberFormat="1" applyFont="1" applyBorder="1" applyAlignment="1">
      <alignment vertical="center" wrapText="1"/>
    </xf>
    <xf numFmtId="0" fontId="11" fillId="0" borderId="1" xfId="0" applyFont="1" applyBorder="1" applyAlignment="1">
      <alignment vertical="center" wrapText="1"/>
    </xf>
    <xf numFmtId="3" fontId="10" fillId="0" borderId="15" xfId="7" applyNumberFormat="1" applyFont="1" applyBorder="1" applyAlignment="1">
      <alignment vertical="center" wrapText="1"/>
    </xf>
    <xf numFmtId="0" fontId="10" fillId="0" borderId="1" xfId="0" applyFont="1" applyBorder="1" applyAlignment="1">
      <alignment vertical="center"/>
    </xf>
    <xf numFmtId="3" fontId="10" fillId="0" borderId="16" xfId="7" applyNumberFormat="1" applyFont="1" applyBorder="1" applyAlignment="1">
      <alignment vertical="center" wrapText="1"/>
    </xf>
    <xf numFmtId="0" fontId="14" fillId="4" borderId="1" xfId="0" applyFont="1" applyFill="1" applyBorder="1" applyAlignment="1">
      <alignment vertical="center"/>
    </xf>
    <xf numFmtId="0" fontId="19" fillId="4" borderId="1" xfId="0" applyFont="1" applyFill="1" applyBorder="1" applyAlignment="1">
      <alignment horizontal="center" vertical="center"/>
    </xf>
    <xf numFmtId="0" fontId="20" fillId="0" borderId="1" xfId="0" applyFont="1" applyBorder="1" applyAlignment="1">
      <alignment vertical="center"/>
    </xf>
    <xf numFmtId="3" fontId="20" fillId="0" borderId="1" xfId="0" applyNumberFormat="1" applyFont="1" applyBorder="1" applyAlignment="1">
      <alignment horizontal="right" vertical="center"/>
    </xf>
    <xf numFmtId="0" fontId="21" fillId="0" borderId="1" xfId="0" applyFont="1" applyBorder="1" applyAlignment="1">
      <alignment vertical="center"/>
    </xf>
    <xf numFmtId="3" fontId="22" fillId="0" borderId="1" xfId="0" applyNumberFormat="1" applyFont="1" applyBorder="1" applyAlignment="1">
      <alignment horizontal="right" vertical="center"/>
    </xf>
    <xf numFmtId="0" fontId="23" fillId="0" borderId="1" xfId="0" applyFont="1" applyBorder="1" applyAlignment="1">
      <alignment vertical="center"/>
    </xf>
    <xf numFmtId="3" fontId="23" fillId="0" borderId="1" xfId="0" applyNumberFormat="1" applyFont="1" applyBorder="1" applyAlignment="1">
      <alignment horizontal="right" vertical="center"/>
    </xf>
    <xf numFmtId="3" fontId="0" fillId="0" borderId="1" xfId="0" applyNumberFormat="1" applyBorder="1"/>
    <xf numFmtId="0" fontId="22" fillId="0" borderId="1" xfId="0" applyFont="1" applyBorder="1" applyAlignment="1">
      <alignment vertical="center"/>
    </xf>
    <xf numFmtId="3" fontId="22" fillId="0" borderId="1" xfId="7" applyNumberFormat="1" applyFont="1" applyBorder="1" applyAlignment="1">
      <alignment horizontal="right" vertical="center"/>
    </xf>
    <xf numFmtId="3" fontId="10" fillId="0" borderId="1" xfId="0" applyNumberFormat="1" applyFont="1" applyBorder="1" applyAlignment="1">
      <alignment horizontal="right" vertical="center"/>
    </xf>
    <xf numFmtId="4" fontId="20" fillId="0" borderId="1" xfId="0" applyNumberFormat="1" applyFont="1" applyBorder="1" applyAlignment="1">
      <alignment horizontal="right" vertical="center"/>
    </xf>
    <xf numFmtId="3" fontId="0" fillId="0" borderId="0" xfId="0" applyNumberFormat="1"/>
    <xf numFmtId="0" fontId="24" fillId="0" borderId="0" xfId="0" applyFont="1"/>
    <xf numFmtId="0" fontId="25" fillId="0" borderId="0" xfId="0" applyFont="1" applyAlignment="1">
      <alignment horizontal="center" vertical="center"/>
    </xf>
    <xf numFmtId="0" fontId="0" fillId="0" borderId="0" xfId="0" applyAlignment="1">
      <alignment wrapText="1"/>
    </xf>
    <xf numFmtId="0" fontId="28" fillId="0" borderId="1" xfId="0" applyFont="1" applyBorder="1" applyAlignment="1">
      <alignment vertical="center" wrapText="1"/>
    </xf>
    <xf numFmtId="3" fontId="29" fillId="0" borderId="1" xfId="0" applyNumberFormat="1" applyFont="1" applyBorder="1" applyAlignment="1">
      <alignment vertical="center" wrapText="1"/>
    </xf>
    <xf numFmtId="0" fontId="29" fillId="0" borderId="1" xfId="0" applyFont="1" applyBorder="1" applyAlignment="1">
      <alignment horizontal="justify" vertical="center" wrapText="1"/>
    </xf>
    <xf numFmtId="3" fontId="29" fillId="0" borderId="1" xfId="1" applyNumberFormat="1" applyFont="1" applyBorder="1" applyAlignment="1">
      <alignment vertical="center" wrapText="1"/>
    </xf>
    <xf numFmtId="3" fontId="29" fillId="0" borderId="1" xfId="1" applyNumberFormat="1" applyFont="1" applyBorder="1" applyAlignment="1">
      <alignment horizontal="right" vertical="center" wrapText="1"/>
    </xf>
    <xf numFmtId="3" fontId="29" fillId="0" borderId="1" xfId="0" applyNumberFormat="1" applyFont="1" applyBorder="1" applyAlignment="1">
      <alignment horizontal="right" vertical="center" wrapText="1"/>
    </xf>
    <xf numFmtId="3" fontId="28" fillId="0" borderId="1" xfId="1" applyNumberFormat="1" applyFont="1" applyBorder="1" applyAlignment="1">
      <alignment vertical="center" wrapText="1"/>
    </xf>
    <xf numFmtId="3" fontId="28" fillId="0" borderId="1" xfId="0" applyNumberFormat="1" applyFont="1" applyBorder="1" applyAlignment="1">
      <alignment vertical="center" wrapText="1"/>
    </xf>
    <xf numFmtId="3" fontId="28" fillId="0" borderId="1" xfId="7" applyNumberFormat="1" applyFont="1" applyBorder="1" applyAlignment="1">
      <alignment vertical="center" wrapText="1"/>
    </xf>
    <xf numFmtId="0" fontId="28" fillId="5" borderId="1" xfId="0" applyFont="1" applyFill="1" applyBorder="1" applyAlignment="1">
      <alignment vertical="center" wrapText="1"/>
    </xf>
    <xf numFmtId="3" fontId="28" fillId="5" borderId="1" xfId="0" applyNumberFormat="1" applyFont="1" applyFill="1" applyBorder="1" applyAlignment="1">
      <alignment vertical="center" wrapText="1"/>
    </xf>
    <xf numFmtId="3" fontId="29" fillId="5" borderId="1" xfId="0" applyNumberFormat="1" applyFont="1" applyFill="1" applyBorder="1" applyAlignment="1">
      <alignment vertical="center" wrapText="1"/>
    </xf>
    <xf numFmtId="3" fontId="0" fillId="5" borderId="1" xfId="0" applyNumberFormat="1" applyFill="1" applyBorder="1" applyAlignment="1">
      <alignment wrapText="1"/>
    </xf>
    <xf numFmtId="0" fontId="29" fillId="5" borderId="1" xfId="0" applyFont="1" applyFill="1" applyBorder="1" applyAlignment="1">
      <alignment vertical="center" wrapText="1"/>
    </xf>
    <xf numFmtId="4" fontId="0" fillId="0" borderId="0" xfId="0" applyNumberFormat="1" applyAlignment="1">
      <alignment wrapText="1"/>
    </xf>
    <xf numFmtId="3" fontId="29" fillId="5" borderId="1" xfId="0" applyNumberFormat="1" applyFont="1" applyFill="1" applyBorder="1" applyAlignment="1">
      <alignment horizontal="right" vertical="center" wrapText="1"/>
    </xf>
    <xf numFmtId="0" fontId="17" fillId="6" borderId="0" xfId="0" applyFont="1" applyFill="1" applyAlignment="1">
      <alignment horizontal="left" vertical="center" indent="4"/>
    </xf>
    <xf numFmtId="0" fontId="17" fillId="6" borderId="0" xfId="0" applyFont="1" applyFill="1"/>
    <xf numFmtId="3" fontId="17" fillId="6" borderId="0" xfId="0" applyNumberFormat="1" applyFont="1" applyFill="1"/>
    <xf numFmtId="0" fontId="18" fillId="0" borderId="0" xfId="0" applyFont="1" applyAlignment="1">
      <alignment horizontal="center" vertical="center"/>
    </xf>
    <xf numFmtId="0" fontId="27" fillId="4" borderId="1" xfId="0" applyFont="1" applyFill="1" applyBorder="1" applyAlignment="1">
      <alignment vertical="center"/>
    </xf>
    <xf numFmtId="0" fontId="14" fillId="4" borderId="1" xfId="0" applyFont="1" applyFill="1" applyBorder="1" applyAlignment="1">
      <alignment horizontal="center" vertical="center" wrapText="1"/>
    </xf>
    <xf numFmtId="0" fontId="31" fillId="7" borderId="1" xfId="0" applyFont="1" applyFill="1" applyBorder="1" applyAlignment="1">
      <alignment vertical="center"/>
    </xf>
    <xf numFmtId="0" fontId="32" fillId="7" borderId="1" xfId="0" applyFont="1" applyFill="1" applyBorder="1" applyAlignment="1">
      <alignment vertical="center"/>
    </xf>
    <xf numFmtId="0" fontId="33" fillId="0" borderId="1" xfId="0" applyFont="1" applyBorder="1" applyAlignment="1">
      <alignment vertical="center"/>
    </xf>
    <xf numFmtId="3" fontId="33" fillId="0" borderId="1" xfId="0" applyNumberFormat="1" applyFont="1" applyBorder="1" applyAlignment="1">
      <alignment horizontal="right" vertical="center"/>
    </xf>
    <xf numFmtId="3" fontId="31" fillId="0" borderId="1" xfId="0" applyNumberFormat="1" applyFont="1" applyBorder="1" applyAlignment="1">
      <alignment horizontal="right" vertical="center"/>
    </xf>
    <xf numFmtId="0" fontId="31" fillId="0" borderId="1" xfId="0" applyFont="1" applyBorder="1" applyAlignment="1">
      <alignment vertical="center"/>
    </xf>
    <xf numFmtId="0" fontId="34" fillId="0" borderId="1" xfId="0" applyFont="1" applyBorder="1" applyAlignment="1">
      <alignment horizontal="right" vertical="center"/>
    </xf>
    <xf numFmtId="0" fontId="32" fillId="0" borderId="1" xfId="0" applyFont="1" applyBorder="1" applyAlignment="1">
      <alignment horizontal="right" vertical="center"/>
    </xf>
    <xf numFmtId="3" fontId="32" fillId="0" borderId="1" xfId="0" applyNumberFormat="1" applyFont="1" applyBorder="1" applyAlignment="1">
      <alignment horizontal="right" vertical="center"/>
    </xf>
    <xf numFmtId="0" fontId="33" fillId="0" borderId="1" xfId="0" applyFont="1" applyBorder="1" applyAlignment="1">
      <alignment horizontal="right" vertical="center"/>
    </xf>
    <xf numFmtId="3" fontId="31" fillId="5" borderId="1" xfId="0" applyNumberFormat="1" applyFont="1" applyFill="1" applyBorder="1" applyAlignment="1">
      <alignment horizontal="right" vertical="center"/>
    </xf>
    <xf numFmtId="3" fontId="32" fillId="7" borderId="1" xfId="0" applyNumberFormat="1" applyFont="1" applyFill="1" applyBorder="1" applyAlignment="1">
      <alignment vertical="center"/>
    </xf>
    <xf numFmtId="3" fontId="33" fillId="0" borderId="1" xfId="7" applyNumberFormat="1" applyFont="1" applyBorder="1" applyAlignment="1">
      <alignment horizontal="right" vertical="center"/>
    </xf>
    <xf numFmtId="0" fontId="0" fillId="0" borderId="0" xfId="0" applyAlignment="1">
      <alignment horizontal="right"/>
    </xf>
    <xf numFmtId="0" fontId="36" fillId="0" borderId="0" xfId="0" applyFont="1" applyAlignment="1">
      <alignment horizontal="center" vertical="center"/>
    </xf>
    <xf numFmtId="0" fontId="18" fillId="0" borderId="0" xfId="0" applyFont="1" applyAlignment="1">
      <alignment horizontal="justify" vertical="center"/>
    </xf>
    <xf numFmtId="0" fontId="36" fillId="0" borderId="0" xfId="0" applyFont="1" applyAlignment="1">
      <alignment horizontal="justify" vertical="center"/>
    </xf>
    <xf numFmtId="0" fontId="0" fillId="0" borderId="0" xfId="0" applyAlignment="1">
      <alignment horizontal="justify" vertical="center"/>
    </xf>
    <xf numFmtId="0" fontId="0" fillId="0" borderId="0" xfId="0" applyAlignment="1">
      <alignment horizontal="justify" vertical="center" wrapText="1"/>
    </xf>
    <xf numFmtId="0" fontId="17" fillId="0" borderId="0" xfId="0" applyFont="1" applyAlignment="1">
      <alignment horizontal="justify" vertical="center"/>
    </xf>
    <xf numFmtId="0" fontId="37" fillId="0" borderId="0" xfId="0" applyFont="1"/>
    <xf numFmtId="0" fontId="28" fillId="0" borderId="1" xfId="0" applyFont="1" applyBorder="1" applyAlignment="1">
      <alignment horizontal="justify" vertical="center" wrapText="1"/>
    </xf>
    <xf numFmtId="4" fontId="28" fillId="0" borderId="1" xfId="0" applyNumberFormat="1" applyFont="1" applyBorder="1" applyAlignment="1">
      <alignment horizontal="center" vertical="center" wrapText="1"/>
    </xf>
    <xf numFmtId="0" fontId="40" fillId="0" borderId="1" xfId="0" applyFont="1" applyBorder="1" applyAlignment="1">
      <alignment horizontal="justify" vertical="center" wrapText="1"/>
    </xf>
    <xf numFmtId="0" fontId="41" fillId="0" borderId="1" xfId="0" applyFont="1" applyBorder="1" applyAlignment="1">
      <alignment horizontal="justify" vertical="center" wrapText="1"/>
    </xf>
    <xf numFmtId="4" fontId="41" fillId="0" borderId="1" xfId="0" applyNumberFormat="1" applyFont="1" applyBorder="1" applyAlignment="1">
      <alignment horizontal="justify" vertical="center" wrapText="1"/>
    </xf>
    <xf numFmtId="0" fontId="40" fillId="0" borderId="1" xfId="0" applyFont="1" applyBorder="1" applyAlignment="1">
      <alignment vertical="center" wrapText="1"/>
    </xf>
    <xf numFmtId="0" fontId="41" fillId="0" borderId="1" xfId="0" applyFont="1" applyBorder="1" applyAlignment="1">
      <alignment vertical="center" wrapText="1"/>
    </xf>
    <xf numFmtId="0" fontId="41" fillId="0" borderId="1" xfId="0" applyFont="1" applyBorder="1" applyAlignment="1">
      <alignment horizontal="center" vertical="center" wrapText="1"/>
    </xf>
    <xf numFmtId="4" fontId="41" fillId="0" borderId="1" xfId="0" applyNumberFormat="1" applyFont="1" applyBorder="1" applyAlignment="1">
      <alignment horizontal="center" vertical="center" wrapText="1"/>
    </xf>
    <xf numFmtId="3" fontId="41" fillId="0" borderId="1" xfId="0" applyNumberFormat="1" applyFont="1" applyBorder="1" applyAlignment="1">
      <alignment horizontal="center" vertical="center" wrapText="1"/>
    </xf>
    <xf numFmtId="0" fontId="42" fillId="0" borderId="1" xfId="0" applyFont="1" applyBorder="1" applyAlignment="1">
      <alignment vertical="center" wrapText="1"/>
    </xf>
    <xf numFmtId="4" fontId="41" fillId="0" borderId="1" xfId="0" applyNumberFormat="1" applyFont="1" applyBorder="1" applyAlignment="1">
      <alignment vertical="top" wrapText="1"/>
    </xf>
    <xf numFmtId="3" fontId="41" fillId="0" borderId="1" xfId="0" applyNumberFormat="1" applyFont="1" applyBorder="1" applyAlignment="1">
      <alignment vertical="top" wrapText="1"/>
    </xf>
    <xf numFmtId="4" fontId="43" fillId="0" borderId="1" xfId="0" applyNumberFormat="1" applyFont="1" applyBorder="1" applyAlignment="1">
      <alignment horizontal="center" vertical="center" wrapText="1"/>
    </xf>
    <xf numFmtId="4" fontId="41" fillId="0" borderId="1" xfId="0" applyNumberFormat="1" applyFont="1" applyBorder="1" applyAlignment="1">
      <alignment horizontal="center" vertical="top" wrapText="1"/>
    </xf>
    <xf numFmtId="0" fontId="42" fillId="0" borderId="1" xfId="0" applyFont="1" applyBorder="1" applyAlignment="1">
      <alignment horizontal="left" vertical="center" wrapText="1"/>
    </xf>
    <xf numFmtId="4" fontId="44" fillId="0" borderId="1" xfId="0"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0" fontId="42" fillId="0" borderId="0" xfId="0" applyFont="1" applyAlignment="1">
      <alignment horizontal="left" vertical="center" wrapText="1"/>
    </xf>
    <xf numFmtId="4" fontId="41" fillId="0" borderId="0" xfId="0" applyNumberFormat="1" applyFont="1" applyAlignment="1">
      <alignment horizontal="center" vertical="center" wrapText="1"/>
    </xf>
    <xf numFmtId="3" fontId="41" fillId="0" borderId="0" xfId="0" applyNumberFormat="1" applyFont="1" applyAlignment="1">
      <alignment horizontal="center" vertical="center" wrapText="1"/>
    </xf>
    <xf numFmtId="0" fontId="0" fillId="0" borderId="1" xfId="0" applyBorder="1" applyAlignment="1">
      <alignment vertical="center"/>
    </xf>
    <xf numFmtId="168" fontId="75" fillId="0" borderId="1" xfId="1" applyNumberFormat="1" applyBorder="1" applyAlignment="1">
      <alignment horizontal="right" vertical="center"/>
    </xf>
    <xf numFmtId="0" fontId="18" fillId="0" borderId="1" xfId="0" applyFont="1" applyBorder="1" applyAlignment="1">
      <alignment vertical="center"/>
    </xf>
    <xf numFmtId="168" fontId="18" fillId="0" borderId="1" xfId="1" applyNumberFormat="1" applyFont="1" applyBorder="1" applyAlignment="1">
      <alignment horizontal="right" vertical="center"/>
    </xf>
    <xf numFmtId="0" fontId="29" fillId="7" borderId="1"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28" fillId="7" borderId="1" xfId="0" applyFont="1" applyFill="1" applyBorder="1" applyAlignment="1">
      <alignment vertical="center" wrapText="1"/>
    </xf>
    <xf numFmtId="0" fontId="28" fillId="7" borderId="1" xfId="0" applyFont="1" applyFill="1" applyBorder="1" applyAlignment="1">
      <alignment horizontal="right" vertical="center" wrapText="1"/>
    </xf>
    <xf numFmtId="0" fontId="28" fillId="0" borderId="1" xfId="0" applyFont="1" applyBorder="1" applyAlignment="1">
      <alignment horizontal="center" vertical="center" wrapText="1"/>
    </xf>
    <xf numFmtId="3" fontId="28" fillId="0" borderId="1" xfId="0" applyNumberFormat="1" applyFont="1" applyBorder="1" applyAlignment="1">
      <alignment horizontal="right" vertical="center" wrapText="1"/>
    </xf>
    <xf numFmtId="3" fontId="46" fillId="0" borderId="1" xfId="0" applyNumberFormat="1" applyFont="1" applyBorder="1" applyAlignment="1">
      <alignment horizontal="right" vertical="center" wrapText="1"/>
    </xf>
    <xf numFmtId="0" fontId="28" fillId="0" borderId="1" xfId="0" applyFont="1" applyBorder="1" applyAlignment="1">
      <alignment horizontal="right" vertical="center" wrapText="1"/>
    </xf>
    <xf numFmtId="3" fontId="27" fillId="4" borderId="1" xfId="0" applyNumberFormat="1" applyFont="1" applyFill="1" applyBorder="1" applyAlignment="1">
      <alignment horizontal="right" vertical="center" wrapText="1"/>
    </xf>
    <xf numFmtId="3" fontId="29" fillId="0" borderId="1" xfId="0" applyNumberFormat="1" applyFont="1" applyBorder="1" applyAlignment="1">
      <alignment horizontal="center" vertical="center" wrapText="1"/>
    </xf>
    <xf numFmtId="0" fontId="47" fillId="0" borderId="0" xfId="0" applyFont="1"/>
    <xf numFmtId="3" fontId="28" fillId="0" borderId="1" xfId="0" applyNumberFormat="1" applyFont="1" applyBorder="1" applyAlignment="1">
      <alignment horizontal="center" vertical="center" wrapText="1"/>
    </xf>
    <xf numFmtId="0" fontId="18" fillId="0" borderId="0" xfId="0" applyFont="1"/>
    <xf numFmtId="4" fontId="18" fillId="0" borderId="0" xfId="0" applyNumberFormat="1" applyFont="1"/>
    <xf numFmtId="3" fontId="18" fillId="0" borderId="0" xfId="0" applyNumberFormat="1" applyFont="1"/>
    <xf numFmtId="0" fontId="27" fillId="4" borderId="0" xfId="0" applyFont="1" applyFill="1" applyAlignment="1">
      <alignment horizontal="left" vertical="center"/>
    </xf>
    <xf numFmtId="0" fontId="27" fillId="4" borderId="0" xfId="0" applyFont="1" applyFill="1" applyAlignment="1">
      <alignment horizontal="right" vertical="center"/>
    </xf>
    <xf numFmtId="166" fontId="27" fillId="4" borderId="0" xfId="7" applyFont="1" applyFill="1" applyAlignment="1">
      <alignment horizontal="center" vertical="center"/>
    </xf>
    <xf numFmtId="169" fontId="75" fillId="0" borderId="0" xfId="7" applyNumberFormat="1"/>
    <xf numFmtId="166" fontId="18" fillId="0" borderId="0" xfId="0" applyNumberFormat="1" applyFont="1"/>
    <xf numFmtId="0" fontId="37" fillId="0" borderId="0" xfId="0" applyFont="1" applyAlignment="1">
      <alignment horizontal="justify" vertical="center"/>
    </xf>
    <xf numFmtId="0" fontId="28" fillId="0" borderId="1" xfId="0" applyFont="1" applyBorder="1" applyAlignment="1">
      <alignment vertical="center"/>
    </xf>
    <xf numFmtId="3" fontId="28" fillId="0" borderId="1" xfId="0" applyNumberFormat="1" applyFont="1" applyBorder="1" applyAlignment="1">
      <alignment horizontal="right" vertical="center"/>
    </xf>
    <xf numFmtId="168" fontId="0" fillId="0" borderId="0" xfId="0" applyNumberFormat="1"/>
    <xf numFmtId="0" fontId="29" fillId="0" borderId="1" xfId="0" applyFont="1" applyBorder="1" applyAlignment="1">
      <alignment vertical="center"/>
    </xf>
    <xf numFmtId="3" fontId="29" fillId="0" borderId="1" xfId="0" applyNumberFormat="1" applyFont="1" applyBorder="1" applyAlignment="1">
      <alignment horizontal="right" vertical="center"/>
    </xf>
    <xf numFmtId="0" fontId="49" fillId="0" borderId="1" xfId="0" applyFont="1" applyBorder="1" applyAlignment="1">
      <alignment vertical="center"/>
    </xf>
    <xf numFmtId="168" fontId="49" fillId="0" borderId="1" xfId="1" applyNumberFormat="1" applyFont="1" applyBorder="1" applyAlignment="1">
      <alignment horizontal="right" vertical="center"/>
    </xf>
    <xf numFmtId="0" fontId="25" fillId="0" borderId="1" xfId="0" applyFont="1" applyBorder="1" applyAlignment="1">
      <alignment vertical="center"/>
    </xf>
    <xf numFmtId="168" fontId="25" fillId="0" borderId="1" xfId="1" applyNumberFormat="1" applyFont="1" applyBorder="1" applyAlignment="1">
      <alignment horizontal="right" vertical="center"/>
    </xf>
    <xf numFmtId="0" fontId="25" fillId="0" borderId="0" xfId="0" applyFont="1" applyAlignment="1">
      <alignment vertical="center"/>
    </xf>
    <xf numFmtId="168" fontId="25" fillId="0" borderId="0" xfId="1" applyNumberFormat="1" applyFont="1" applyAlignment="1">
      <alignment horizontal="right" vertical="center"/>
    </xf>
    <xf numFmtId="166" fontId="75" fillId="0" borderId="1" xfId="7" applyBorder="1"/>
    <xf numFmtId="170" fontId="25" fillId="0" borderId="1" xfId="1" applyNumberFormat="1" applyFont="1" applyBorder="1" applyAlignment="1">
      <alignment horizontal="right" vertical="center"/>
    </xf>
    <xf numFmtId="0" fontId="0" fillId="0" borderId="1" xfId="0" applyBorder="1" applyAlignment="1">
      <alignment vertical="center" wrapText="1"/>
    </xf>
    <xf numFmtId="3" fontId="75" fillId="0" borderId="1" xfId="7" applyNumberFormat="1" applyBorder="1" applyAlignment="1">
      <alignment horizontal="right" vertical="center" wrapText="1"/>
    </xf>
    <xf numFmtId="4" fontId="75" fillId="0" borderId="1" xfId="7" applyNumberFormat="1" applyBorder="1" applyAlignment="1">
      <alignment horizontal="right" vertical="center" wrapText="1"/>
    </xf>
    <xf numFmtId="0" fontId="18" fillId="0" borderId="1" xfId="0" applyFont="1" applyBorder="1" applyAlignment="1">
      <alignment vertical="center" wrapText="1"/>
    </xf>
    <xf numFmtId="3" fontId="18" fillId="0" borderId="1" xfId="0" applyNumberFormat="1" applyFont="1" applyBorder="1" applyAlignment="1">
      <alignment horizontal="right" vertical="center" wrapText="1"/>
    </xf>
    <xf numFmtId="4" fontId="18" fillId="0" borderId="1" xfId="0" applyNumberFormat="1" applyFont="1" applyBorder="1" applyAlignment="1">
      <alignment horizontal="right" vertical="center" wrapText="1"/>
    </xf>
    <xf numFmtId="0" fontId="17" fillId="0" borderId="0" xfId="0" applyFont="1"/>
    <xf numFmtId="0" fontId="50" fillId="0" borderId="0" xfId="0" applyFont="1"/>
    <xf numFmtId="0" fontId="27" fillId="9" borderId="1" xfId="0" applyFont="1" applyFill="1" applyBorder="1" applyAlignment="1">
      <alignment horizontal="center" vertical="center" wrapText="1"/>
    </xf>
    <xf numFmtId="166" fontId="28" fillId="0" borderId="1" xfId="7" applyFont="1" applyBorder="1" applyAlignment="1">
      <alignment horizontal="right" vertical="center" wrapText="1"/>
    </xf>
    <xf numFmtId="4" fontId="0" fillId="0" borderId="1" xfId="0" applyNumberFormat="1" applyBorder="1"/>
    <xf numFmtId="0" fontId="0" fillId="0" borderId="0" xfId="0" applyAlignment="1">
      <alignment horizontal="right" vertical="center"/>
    </xf>
    <xf numFmtId="4" fontId="18" fillId="0" borderId="1" xfId="1" applyNumberFormat="1" applyFont="1" applyBorder="1" applyAlignment="1">
      <alignment horizontal="right" vertical="center"/>
    </xf>
    <xf numFmtId="0" fontId="18" fillId="0" borderId="0" xfId="0" applyFont="1" applyAlignment="1">
      <alignment vertical="center"/>
    </xf>
    <xf numFmtId="168" fontId="18" fillId="0" borderId="0" xfId="1" applyNumberFormat="1" applyFont="1" applyAlignment="1">
      <alignment horizontal="right" vertical="center"/>
    </xf>
    <xf numFmtId="168" fontId="28" fillId="0" borderId="1" xfId="1" applyNumberFormat="1" applyFont="1" applyBorder="1" applyAlignment="1">
      <alignment horizontal="right" vertical="center" wrapText="1"/>
    </xf>
    <xf numFmtId="168" fontId="29" fillId="0" borderId="1" xfId="1" applyNumberFormat="1" applyFont="1" applyBorder="1" applyAlignment="1">
      <alignment horizontal="right" vertical="center" wrapText="1"/>
    </xf>
    <xf numFmtId="0" fontId="51" fillId="0" borderId="0" xfId="0" applyFont="1" applyAlignment="1">
      <alignment horizontal="justify" vertical="center"/>
    </xf>
    <xf numFmtId="168" fontId="46" fillId="0" borderId="1" xfId="1" applyNumberFormat="1" applyFont="1" applyBorder="1" applyAlignment="1">
      <alignment horizontal="right" vertical="center" wrapText="1"/>
    </xf>
    <xf numFmtId="0" fontId="35" fillId="0" borderId="1" xfId="0" applyFont="1" applyBorder="1" applyAlignment="1">
      <alignment vertical="center"/>
    </xf>
    <xf numFmtId="168" fontId="35" fillId="0" borderId="1" xfId="1" applyNumberFormat="1" applyFont="1" applyBorder="1" applyAlignment="1">
      <alignment horizontal="right" vertical="center" wrapText="1"/>
    </xf>
    <xf numFmtId="168" fontId="35" fillId="0" borderId="1" xfId="1" applyNumberFormat="1" applyFont="1" applyBorder="1" applyAlignment="1">
      <alignment horizontal="right" vertical="center"/>
    </xf>
    <xf numFmtId="0" fontId="28" fillId="0" borderId="1" xfId="0" applyFont="1" applyBorder="1" applyAlignment="1">
      <alignment horizontal="right" vertical="center"/>
    </xf>
    <xf numFmtId="0" fontId="29" fillId="0" borderId="1" xfId="0" applyFont="1" applyBorder="1" applyAlignment="1">
      <alignment horizontal="right" vertical="center" wrapText="1"/>
    </xf>
    <xf numFmtId="0" fontId="29" fillId="0" borderId="1" xfId="0" applyFont="1" applyBorder="1" applyAlignment="1">
      <alignment horizontal="right" vertical="center"/>
    </xf>
    <xf numFmtId="168" fontId="29" fillId="0" borderId="1" xfId="1" applyNumberFormat="1" applyFont="1" applyBorder="1" applyAlignment="1">
      <alignment horizontal="right" vertical="center"/>
    </xf>
    <xf numFmtId="0" fontId="27" fillId="4" borderId="4" xfId="0" applyFont="1" applyFill="1" applyBorder="1" applyAlignment="1">
      <alignment horizontal="center" vertical="center"/>
    </xf>
    <xf numFmtId="0" fontId="27" fillId="4" borderId="5" xfId="0" applyFont="1" applyFill="1" applyBorder="1" applyAlignment="1">
      <alignment horizontal="center" vertical="center"/>
    </xf>
    <xf numFmtId="168" fontId="28" fillId="0" borderId="1" xfId="1" applyNumberFormat="1" applyFont="1" applyBorder="1" applyAlignment="1">
      <alignment horizontal="right" vertical="center"/>
    </xf>
    <xf numFmtId="170" fontId="29" fillId="0" borderId="1" xfId="1" applyNumberFormat="1" applyFont="1" applyBorder="1" applyAlignment="1">
      <alignment horizontal="right" vertical="center"/>
    </xf>
    <xf numFmtId="0" fontId="17" fillId="0" borderId="0" xfId="0" applyFont="1" applyAlignment="1">
      <alignment horizontal="left" wrapText="1"/>
    </xf>
    <xf numFmtId="0" fontId="27" fillId="4" borderId="11" xfId="0" applyFont="1" applyFill="1" applyBorder="1" applyAlignment="1">
      <alignment horizontal="center" vertical="center"/>
    </xf>
    <xf numFmtId="0" fontId="27" fillId="4" borderId="12" xfId="0" applyFont="1" applyFill="1" applyBorder="1" applyAlignment="1">
      <alignment horizontal="center" vertical="center"/>
    </xf>
    <xf numFmtId="0" fontId="27" fillId="4" borderId="13" xfId="0" applyFont="1" applyFill="1" applyBorder="1" applyAlignment="1">
      <alignment horizontal="center" vertical="center"/>
    </xf>
    <xf numFmtId="0" fontId="46" fillId="0" borderId="17" xfId="0" applyFont="1" applyBorder="1" applyAlignment="1">
      <alignment horizontal="left" vertical="center"/>
    </xf>
    <xf numFmtId="166" fontId="46" fillId="0" borderId="1" xfId="7" applyFont="1" applyBorder="1" applyAlignment="1">
      <alignment horizontal="center" vertical="center"/>
    </xf>
    <xf numFmtId="166" fontId="0" fillId="0" borderId="0" xfId="0" applyNumberFormat="1"/>
    <xf numFmtId="0" fontId="27" fillId="0" borderId="18" xfId="0" applyFont="1" applyBorder="1" applyAlignment="1">
      <alignment horizontal="center" vertical="center"/>
    </xf>
    <xf numFmtId="166" fontId="35" fillId="0" borderId="16" xfId="0" applyNumberFormat="1" applyFont="1" applyBorder="1" applyAlignment="1">
      <alignment horizontal="center" vertical="center"/>
    </xf>
    <xf numFmtId="166" fontId="35" fillId="0" borderId="19" xfId="0" applyNumberFormat="1" applyFont="1" applyBorder="1" applyAlignment="1">
      <alignment horizontal="center" vertical="center"/>
    </xf>
    <xf numFmtId="0" fontId="27" fillId="0" borderId="0" xfId="0" applyFont="1" applyAlignment="1">
      <alignment horizontal="center" vertical="center"/>
    </xf>
    <xf numFmtId="166" fontId="35" fillId="0" borderId="0" xfId="0" applyNumberFormat="1" applyFont="1" applyAlignment="1">
      <alignment horizontal="center" vertical="center"/>
    </xf>
    <xf numFmtId="49" fontId="46" fillId="0" borderId="17" xfId="0" applyNumberFormat="1" applyFont="1" applyBorder="1" applyAlignment="1">
      <alignment horizontal="left" vertical="center"/>
    </xf>
    <xf numFmtId="49" fontId="28" fillId="0" borderId="17" xfId="0" applyNumberFormat="1" applyFont="1" applyBorder="1" applyAlignment="1">
      <alignment vertical="center"/>
    </xf>
    <xf numFmtId="49" fontId="37" fillId="0" borderId="10" xfId="0" applyNumberFormat="1" applyFont="1" applyBorder="1" applyAlignment="1">
      <alignment horizontal="left" vertical="center" indent="5"/>
    </xf>
    <xf numFmtId="168" fontId="37" fillId="0" borderId="20" xfId="1" applyNumberFormat="1" applyFont="1" applyBorder="1" applyAlignment="1">
      <alignment horizontal="right" vertical="center"/>
    </xf>
    <xf numFmtId="0" fontId="52" fillId="0" borderId="0" xfId="0" applyFont="1" applyAlignment="1">
      <alignment horizontal="right" vertical="center"/>
    </xf>
    <xf numFmtId="168" fontId="53" fillId="0" borderId="0" xfId="1" applyNumberFormat="1" applyFont="1" applyAlignment="1">
      <alignment horizontal="right" vertical="center"/>
    </xf>
    <xf numFmtId="0" fontId="54" fillId="0" borderId="0" xfId="0" applyFont="1"/>
    <xf numFmtId="0" fontId="46" fillId="0" borderId="14" xfId="0" applyFont="1" applyBorder="1" applyAlignment="1">
      <alignment horizontal="left" vertical="center"/>
    </xf>
    <xf numFmtId="166" fontId="46" fillId="0" borderId="15" xfId="7" applyFont="1" applyBorder="1" applyAlignment="1">
      <alignment horizontal="center" vertical="center"/>
    </xf>
    <xf numFmtId="0" fontId="31" fillId="0" borderId="0" xfId="0" applyFont="1" applyAlignment="1">
      <alignment horizontal="center" vertical="center"/>
    </xf>
    <xf numFmtId="0" fontId="31" fillId="0" borderId="0" xfId="0" applyFont="1" applyAlignment="1">
      <alignment horizontal="center" vertical="center" wrapText="1"/>
    </xf>
    <xf numFmtId="0" fontId="28" fillId="0" borderId="0" xfId="0" applyFont="1"/>
    <xf numFmtId="0" fontId="17" fillId="0" borderId="0" xfId="0" applyFont="1" applyAlignment="1">
      <alignment vertical="center"/>
    </xf>
    <xf numFmtId="0" fontId="28" fillId="0" borderId="0" xfId="0" applyFont="1" applyAlignment="1">
      <alignment horizontal="right" vertical="center"/>
    </xf>
    <xf numFmtId="0" fontId="29" fillId="0" borderId="0" xfId="0" applyFont="1" applyAlignment="1">
      <alignment horizontal="right" vertical="center"/>
    </xf>
    <xf numFmtId="3" fontId="37" fillId="0" borderId="0" xfId="0" applyNumberFormat="1" applyFont="1"/>
    <xf numFmtId="0" fontId="28" fillId="0" borderId="1" xfId="0" applyFont="1" applyBorder="1" applyAlignment="1">
      <alignment horizontal="left" vertical="center" wrapText="1"/>
    </xf>
    <xf numFmtId="3" fontId="28" fillId="0" borderId="1" xfId="0" applyNumberFormat="1" applyFont="1" applyBorder="1"/>
    <xf numFmtId="0" fontId="28" fillId="0" borderId="1" xfId="0" applyFont="1" applyBorder="1"/>
    <xf numFmtId="4" fontId="28" fillId="0" borderId="0" xfId="0" applyNumberFormat="1" applyFont="1"/>
    <xf numFmtId="0" fontId="46" fillId="0" borderId="1" xfId="0" applyFont="1" applyBorder="1" applyAlignment="1">
      <alignment horizontal="left" vertical="center"/>
    </xf>
    <xf numFmtId="0" fontId="35" fillId="0" borderId="1" xfId="0" applyFont="1" applyBorder="1" applyAlignment="1">
      <alignment horizontal="center" vertical="center"/>
    </xf>
    <xf numFmtId="3" fontId="35" fillId="0" borderId="1" xfId="0" applyNumberFormat="1" applyFont="1" applyBorder="1" applyAlignment="1">
      <alignment horizontal="center" vertical="center"/>
    </xf>
    <xf numFmtId="0" fontId="29" fillId="0" borderId="0" xfId="0" applyFont="1" applyAlignment="1">
      <alignment horizontal="justify" vertical="center"/>
    </xf>
    <xf numFmtId="0" fontId="28" fillId="0" borderId="0" xfId="0" applyFont="1" applyAlignment="1">
      <alignment horizontal="justify" vertical="center"/>
    </xf>
    <xf numFmtId="0" fontId="27" fillId="4" borderId="5" xfId="0" applyFont="1" applyFill="1" applyBorder="1" applyAlignment="1">
      <alignment horizontal="center" vertical="center" wrapText="1"/>
    </xf>
    <xf numFmtId="0" fontId="27" fillId="4" borderId="5" xfId="0" applyFont="1" applyFill="1" applyBorder="1" applyAlignment="1">
      <alignment vertical="center" wrapText="1"/>
    </xf>
    <xf numFmtId="0" fontId="27" fillId="4" borderId="22" xfId="0" applyFont="1" applyFill="1" applyBorder="1" applyAlignment="1">
      <alignment horizontal="center" vertical="center" wrapText="1"/>
    </xf>
    <xf numFmtId="0" fontId="27" fillId="4" borderId="22" xfId="0" applyFont="1" applyFill="1" applyBorder="1" applyAlignment="1">
      <alignment vertical="center" wrapText="1"/>
    </xf>
    <xf numFmtId="49" fontId="28" fillId="0" borderId="1" xfId="0" applyNumberFormat="1" applyFont="1" applyBorder="1" applyAlignment="1">
      <alignment vertical="center" wrapText="1"/>
    </xf>
    <xf numFmtId="49" fontId="28" fillId="0" borderId="15" xfId="0" applyNumberFormat="1" applyFont="1" applyBorder="1" applyAlignment="1">
      <alignment vertical="center" wrapText="1"/>
    </xf>
    <xf numFmtId="168" fontId="29" fillId="0" borderId="15" xfId="1" applyNumberFormat="1" applyFont="1" applyBorder="1" applyAlignment="1">
      <alignment horizontal="right" vertical="center" wrapText="1"/>
    </xf>
    <xf numFmtId="0" fontId="29" fillId="0" borderId="10" xfId="0" applyFont="1" applyBorder="1" applyAlignment="1">
      <alignment vertical="center" wrapText="1"/>
    </xf>
    <xf numFmtId="168" fontId="29" fillId="0" borderId="20" xfId="1" applyNumberFormat="1" applyFont="1" applyBorder="1" applyAlignment="1">
      <alignment horizontal="right" vertical="center" wrapText="1"/>
    </xf>
    <xf numFmtId="0" fontId="29" fillId="0" borderId="0" xfId="0" applyFont="1" applyAlignment="1">
      <alignment vertical="center" wrapText="1"/>
    </xf>
    <xf numFmtId="168" fontId="29" fillId="0" borderId="0" xfId="1" applyNumberFormat="1" applyFont="1" applyAlignment="1">
      <alignment horizontal="right" vertical="center" wrapText="1"/>
    </xf>
    <xf numFmtId="168" fontId="28" fillId="0" borderId="0" xfId="0" applyNumberFormat="1" applyFont="1"/>
    <xf numFmtId="0" fontId="29" fillId="0" borderId="0" xfId="0" applyFont="1" applyAlignment="1">
      <alignment vertical="center"/>
    </xf>
    <xf numFmtId="168" fontId="29" fillId="0" borderId="0" xfId="0" applyNumberFormat="1" applyFont="1" applyAlignment="1">
      <alignment horizontal="right" vertical="center"/>
    </xf>
    <xf numFmtId="0" fontId="51" fillId="0" borderId="0" xfId="0" applyFont="1" applyAlignment="1">
      <alignment vertical="center"/>
    </xf>
    <xf numFmtId="0" fontId="30" fillId="0" borderId="0" xfId="0" applyFont="1" applyAlignment="1">
      <alignment vertical="center"/>
    </xf>
    <xf numFmtId="0" fontId="55" fillId="4" borderId="1" xfId="0" applyFont="1" applyFill="1" applyBorder="1" applyAlignment="1">
      <alignment horizontal="center" vertical="center" wrapText="1"/>
    </xf>
    <xf numFmtId="0" fontId="3" fillId="0" borderId="1" xfId="0" applyFont="1" applyBorder="1" applyAlignment="1">
      <alignment horizontal="justify" vertical="center" wrapText="1"/>
    </xf>
    <xf numFmtId="3" fontId="3" fillId="0" borderId="1" xfId="0" applyNumberFormat="1" applyFont="1" applyBorder="1" applyAlignment="1">
      <alignment horizontal="right" vertical="center" wrapText="1"/>
    </xf>
    <xf numFmtId="0" fontId="30" fillId="0" borderId="1" xfId="0" applyFont="1" applyBorder="1" applyAlignment="1">
      <alignment horizontal="justify" vertical="center" wrapText="1"/>
    </xf>
    <xf numFmtId="3" fontId="30" fillId="0" borderId="1" xfId="0" applyNumberFormat="1" applyFont="1" applyBorder="1" applyAlignment="1">
      <alignment horizontal="right" vertical="center" wrapText="1"/>
    </xf>
    <xf numFmtId="0" fontId="30" fillId="0" borderId="0" xfId="0" applyFont="1" applyAlignment="1">
      <alignment horizontal="justify" vertical="center"/>
    </xf>
    <xf numFmtId="0" fontId="3" fillId="0" borderId="1" xfId="0" applyFont="1" applyBorder="1" applyAlignment="1">
      <alignment vertical="center" wrapText="1"/>
    </xf>
    <xf numFmtId="168" fontId="30" fillId="0" borderId="1" xfId="0" applyNumberFormat="1" applyFont="1" applyBorder="1" applyAlignment="1">
      <alignment horizontal="right" vertical="center" wrapText="1"/>
    </xf>
    <xf numFmtId="0" fontId="0" fillId="0" borderId="1" xfId="0" applyBorder="1" applyAlignment="1">
      <alignment horizontal="justify" vertical="center" wrapText="1"/>
    </xf>
    <xf numFmtId="3" fontId="0" fillId="0" borderId="1" xfId="0" applyNumberFormat="1" applyBorder="1" applyAlignment="1">
      <alignment horizontal="right" vertical="center" wrapText="1"/>
    </xf>
    <xf numFmtId="0" fontId="0" fillId="0" borderId="1" xfId="0" applyBorder="1" applyAlignment="1">
      <alignment horizontal="justify" vertical="center"/>
    </xf>
    <xf numFmtId="0" fontId="18" fillId="0" borderId="1" xfId="0" applyFont="1" applyBorder="1" applyAlignment="1">
      <alignment horizontal="justify" vertical="center" wrapText="1"/>
    </xf>
    <xf numFmtId="0" fontId="56" fillId="4" borderId="1" xfId="0" applyFont="1" applyFill="1" applyBorder="1" applyAlignment="1">
      <alignment horizontal="center" vertical="center" wrapText="1"/>
    </xf>
    <xf numFmtId="0" fontId="18" fillId="0" borderId="0" xfId="0" applyFont="1" applyAlignment="1">
      <alignment horizontal="right" vertical="center"/>
    </xf>
    <xf numFmtId="0" fontId="17" fillId="0" borderId="1" xfId="0" applyFont="1" applyBorder="1"/>
    <xf numFmtId="0" fontId="18" fillId="0" borderId="1" xfId="0" applyFont="1" applyBorder="1"/>
    <xf numFmtId="171" fontId="57" fillId="0" borderId="1" xfId="0" applyNumberFormat="1" applyFont="1" applyBorder="1"/>
    <xf numFmtId="172" fontId="18" fillId="0" borderId="1" xfId="0" applyNumberFormat="1" applyFont="1" applyBorder="1"/>
    <xf numFmtId="3" fontId="18" fillId="0" borderId="1" xfId="0" applyNumberFormat="1" applyFont="1" applyBorder="1" applyAlignment="1">
      <alignment horizontal="right"/>
    </xf>
    <xf numFmtId="0" fontId="18" fillId="0" borderId="0" xfId="0" applyFont="1" applyAlignment="1">
      <alignment horizontal="right"/>
    </xf>
    <xf numFmtId="0" fontId="58" fillId="0" borderId="0" xfId="0" applyFont="1"/>
    <xf numFmtId="0" fontId="59" fillId="0" borderId="0" xfId="0" applyFont="1"/>
    <xf numFmtId="0" fontId="60" fillId="0" borderId="0" xfId="0" applyFont="1"/>
    <xf numFmtId="1" fontId="35" fillId="0" borderId="0" xfId="0" applyNumberFormat="1" applyFont="1" applyAlignment="1">
      <alignment horizontal="center" vertical="center"/>
    </xf>
    <xf numFmtId="0" fontId="0" fillId="0" borderId="0" xfId="0" applyAlignment="1">
      <alignment horizontal="center"/>
    </xf>
    <xf numFmtId="0" fontId="62" fillId="6" borderId="0" xfId="0" applyFont="1" applyFill="1" applyAlignment="1">
      <alignment vertical="center"/>
    </xf>
    <xf numFmtId="1" fontId="62" fillId="6" borderId="0" xfId="0" applyNumberFormat="1" applyFont="1" applyFill="1" applyAlignment="1">
      <alignment vertical="center"/>
    </xf>
    <xf numFmtId="0" fontId="0" fillId="6" borderId="0" xfId="0" applyFill="1" applyAlignment="1">
      <alignment horizontal="center"/>
    </xf>
    <xf numFmtId="0" fontId="63" fillId="0" borderId="0" xfId="0" applyFont="1" applyAlignment="1">
      <alignment vertical="center"/>
    </xf>
    <xf numFmtId="0" fontId="62" fillId="0" borderId="0" xfId="0" applyFont="1" applyAlignment="1">
      <alignment vertical="center"/>
    </xf>
    <xf numFmtId="1" fontId="62" fillId="0" borderId="0" xfId="0" applyNumberFormat="1" applyFont="1" applyAlignment="1">
      <alignment vertical="center"/>
    </xf>
    <xf numFmtId="0" fontId="63" fillId="0" borderId="0" xfId="0" applyFont="1" applyAlignment="1">
      <alignment horizontal="left" vertical="center"/>
    </xf>
    <xf numFmtId="0" fontId="11" fillId="0" borderId="0" xfId="0" applyFont="1" applyAlignment="1">
      <alignment vertical="center"/>
    </xf>
    <xf numFmtId="3" fontId="63" fillId="0" borderId="0" xfId="0" applyNumberFormat="1" applyFont="1" applyAlignment="1">
      <alignment vertical="center"/>
    </xf>
    <xf numFmtId="0" fontId="62" fillId="0" borderId="0" xfId="0" applyFont="1" applyAlignment="1">
      <alignment horizontal="left" vertical="center"/>
    </xf>
    <xf numFmtId="1" fontId="62" fillId="0" borderId="0" xfId="0" applyNumberFormat="1" applyFont="1" applyAlignment="1">
      <alignment horizontal="left" vertical="center"/>
    </xf>
    <xf numFmtId="0" fontId="63" fillId="0" borderId="0" xfId="0" applyFont="1" applyAlignment="1">
      <alignment horizontal="left" wrapText="1"/>
    </xf>
    <xf numFmtId="0" fontId="11" fillId="0" borderId="0" xfId="0" applyFont="1" applyAlignment="1">
      <alignment horizontal="left" vertical="center" indent="5"/>
    </xf>
    <xf numFmtId="0" fontId="0" fillId="0" borderId="0" xfId="0" applyAlignment="1">
      <alignment horizontal="left"/>
    </xf>
    <xf numFmtId="1" fontId="0" fillId="0" borderId="0" xfId="0" applyNumberFormat="1"/>
    <xf numFmtId="0" fontId="62" fillId="0" borderId="0" xfId="0" applyFont="1" applyAlignment="1">
      <alignment horizontal="left"/>
    </xf>
    <xf numFmtId="1" fontId="62" fillId="0" borderId="0" xfId="0" applyNumberFormat="1" applyFont="1" applyAlignment="1">
      <alignment horizontal="left"/>
    </xf>
    <xf numFmtId="0" fontId="63" fillId="0" borderId="0" xfId="0" applyFont="1"/>
    <xf numFmtId="1" fontId="63" fillId="0" borderId="0" xfId="0" applyNumberFormat="1" applyFont="1"/>
    <xf numFmtId="0" fontId="63" fillId="0" borderId="0" xfId="0" applyFont="1" applyAlignment="1">
      <alignment horizontal="left"/>
    </xf>
    <xf numFmtId="1" fontId="63" fillId="0" borderId="0" xfId="0" applyNumberFormat="1" applyFont="1" applyAlignment="1">
      <alignment horizontal="left" wrapText="1"/>
    </xf>
    <xf numFmtId="0" fontId="11" fillId="0" borderId="0" xfId="0" applyFont="1"/>
    <xf numFmtId="1" fontId="11" fillId="0" borderId="0" xfId="0" applyNumberFormat="1" applyFont="1"/>
    <xf numFmtId="0" fontId="65" fillId="0" borderId="0" xfId="0" applyFont="1"/>
    <xf numFmtId="0" fontId="67" fillId="0" borderId="0" xfId="0" applyFont="1"/>
    <xf numFmtId="0" fontId="44" fillId="0" borderId="0" xfId="0" applyFont="1" applyAlignment="1">
      <alignment horizontal="center"/>
    </xf>
    <xf numFmtId="173" fontId="63" fillId="0" borderId="1" xfId="0" applyNumberFormat="1" applyFont="1" applyBorder="1" applyAlignment="1">
      <alignment horizontal="right" vertical="center"/>
    </xf>
    <xf numFmtId="173" fontId="63" fillId="0" borderId="0" xfId="0" applyNumberFormat="1" applyFont="1" applyAlignment="1">
      <alignment horizontal="right" vertical="center"/>
    </xf>
    <xf numFmtId="0" fontId="68" fillId="4" borderId="1" xfId="0" applyFont="1" applyFill="1" applyBorder="1" applyAlignment="1">
      <alignment horizontal="center" vertical="center" wrapText="1"/>
    </xf>
    <xf numFmtId="0" fontId="68" fillId="4" borderId="15" xfId="0" applyFont="1" applyFill="1" applyBorder="1" applyAlignment="1">
      <alignment horizontal="center" vertical="center" wrapText="1"/>
    </xf>
    <xf numFmtId="0" fontId="32" fillId="0" borderId="15" xfId="0" applyFont="1" applyBorder="1" applyAlignment="1">
      <alignment horizontal="center" vertical="center"/>
    </xf>
    <xf numFmtId="0" fontId="69" fillId="0" borderId="0" xfId="0" applyFont="1" applyAlignment="1">
      <alignment horizontal="center"/>
    </xf>
    <xf numFmtId="0" fontId="69" fillId="0" borderId="15" xfId="0" applyFont="1" applyBorder="1" applyAlignment="1">
      <alignment horizontal="center"/>
    </xf>
    <xf numFmtId="166" fontId="69" fillId="0" borderId="0" xfId="5" applyFont="1" applyAlignment="1">
      <alignment vertical="center"/>
    </xf>
    <xf numFmtId="3" fontId="69" fillId="0" borderId="0" xfId="0" applyNumberFormat="1" applyFont="1" applyAlignment="1">
      <alignment horizontal="center"/>
    </xf>
    <xf numFmtId="166" fontId="69" fillId="0" borderId="24" xfId="5" applyFont="1" applyBorder="1" applyAlignment="1">
      <alignment horizontal="center"/>
    </xf>
    <xf numFmtId="10" fontId="70" fillId="0" borderId="15" xfId="2" applyNumberFormat="1" applyFont="1" applyBorder="1" applyAlignment="1">
      <alignment horizontal="center"/>
    </xf>
    <xf numFmtId="0" fontId="32" fillId="0" borderId="25" xfId="0" applyFont="1" applyBorder="1" applyAlignment="1">
      <alignment horizontal="center" vertical="center"/>
    </xf>
    <xf numFmtId="0" fontId="69" fillId="0" borderId="25" xfId="0" applyFont="1" applyBorder="1" applyAlignment="1">
      <alignment horizontal="center"/>
    </xf>
    <xf numFmtId="166" fontId="69" fillId="0" borderId="23" xfId="5" applyFont="1" applyBorder="1" applyAlignment="1">
      <alignment horizontal="center"/>
    </xf>
    <xf numFmtId="0" fontId="69" fillId="0" borderId="26" xfId="0" applyFont="1" applyBorder="1" applyAlignment="1">
      <alignment horizontal="center"/>
    </xf>
    <xf numFmtId="166" fontId="69" fillId="0" borderId="26" xfId="5" applyFont="1" applyBorder="1" applyAlignment="1">
      <alignment vertical="center"/>
    </xf>
    <xf numFmtId="3" fontId="69" fillId="0" borderId="26" xfId="0" applyNumberFormat="1" applyFont="1" applyBorder="1" applyAlignment="1">
      <alignment horizontal="center"/>
    </xf>
    <xf numFmtId="0" fontId="32" fillId="0" borderId="27" xfId="0" applyFont="1" applyBorder="1" applyAlignment="1">
      <alignment horizontal="center" vertical="center"/>
    </xf>
    <xf numFmtId="0" fontId="69" fillId="0" borderId="28" xfId="0" applyFont="1" applyBorder="1" applyAlignment="1">
      <alignment horizontal="center"/>
    </xf>
    <xf numFmtId="0" fontId="69" fillId="0" borderId="27" xfId="0" applyFont="1" applyBorder="1" applyAlignment="1">
      <alignment horizontal="center"/>
    </xf>
    <xf numFmtId="166" fontId="69" fillId="0" borderId="28" xfId="5" applyFont="1" applyBorder="1" applyAlignment="1">
      <alignment vertical="center"/>
    </xf>
    <xf numFmtId="3" fontId="69" fillId="0" borderId="28" xfId="0" applyNumberFormat="1" applyFont="1" applyBorder="1" applyAlignment="1">
      <alignment horizontal="center"/>
    </xf>
    <xf numFmtId="166" fontId="69" fillId="0" borderId="29" xfId="5" applyFont="1" applyBorder="1" applyAlignment="1">
      <alignment horizontal="center"/>
    </xf>
    <xf numFmtId="1" fontId="69" fillId="0" borderId="15" xfId="0" applyNumberFormat="1" applyFont="1" applyBorder="1" applyAlignment="1">
      <alignment horizontal="center"/>
    </xf>
    <xf numFmtId="1" fontId="69" fillId="0" borderId="25" xfId="0" applyNumberFormat="1" applyFont="1" applyBorder="1" applyAlignment="1">
      <alignment horizontal="center"/>
    </xf>
    <xf numFmtId="1" fontId="69" fillId="0" borderId="27" xfId="0" applyNumberFormat="1" applyFont="1" applyBorder="1" applyAlignment="1">
      <alignment horizontal="center"/>
    </xf>
    <xf numFmtId="174" fontId="32" fillId="0" borderId="15" xfId="8" applyNumberFormat="1" applyFont="1" applyFill="1" applyBorder="1" applyAlignment="1">
      <alignment horizontal="center" vertical="center"/>
    </xf>
    <xf numFmtId="174" fontId="32" fillId="0" borderId="25" xfId="8" applyNumberFormat="1" applyFont="1" applyFill="1" applyBorder="1" applyAlignment="1">
      <alignment horizontal="center" vertical="center"/>
    </xf>
    <xf numFmtId="0" fontId="32" fillId="0" borderId="25" xfId="0" applyFont="1" applyBorder="1" applyAlignment="1">
      <alignment horizontal="center"/>
    </xf>
    <xf numFmtId="174" fontId="32" fillId="0" borderId="27" xfId="8" applyNumberFormat="1" applyFont="1" applyFill="1" applyBorder="1" applyAlignment="1">
      <alignment horizontal="center" vertical="center"/>
    </xf>
    <xf numFmtId="0" fontId="69" fillId="0" borderId="30" xfId="0" applyFont="1" applyBorder="1" applyAlignment="1">
      <alignment horizontal="center"/>
    </xf>
    <xf numFmtId="0" fontId="32" fillId="0" borderId="1" xfId="0" applyFont="1" applyBorder="1" applyAlignment="1">
      <alignment horizontal="center" vertical="center"/>
    </xf>
    <xf numFmtId="0" fontId="69" fillId="0" borderId="31" xfId="0" applyFont="1" applyBorder="1" applyAlignment="1">
      <alignment horizontal="center"/>
    </xf>
    <xf numFmtId="0" fontId="69" fillId="0" borderId="1" xfId="0" applyFont="1" applyBorder="1" applyAlignment="1">
      <alignment horizontal="center"/>
    </xf>
    <xf numFmtId="166" fontId="69" fillId="0" borderId="31" xfId="5" applyFont="1" applyBorder="1" applyAlignment="1">
      <alignment vertical="center"/>
    </xf>
    <xf numFmtId="3" fontId="69" fillId="0" borderId="31" xfId="0" applyNumberFormat="1" applyFont="1" applyBorder="1" applyAlignment="1">
      <alignment horizontal="center"/>
    </xf>
    <xf numFmtId="166" fontId="69" fillId="0" borderId="30" xfId="5" applyFont="1" applyBorder="1" applyAlignment="1">
      <alignment horizontal="center"/>
    </xf>
    <xf numFmtId="0" fontId="0" fillId="0" borderId="24" xfId="0" applyBorder="1" applyAlignment="1">
      <alignment vertical="center"/>
    </xf>
    <xf numFmtId="0" fontId="18" fillId="0" borderId="15" xfId="0" applyFont="1" applyBorder="1" applyAlignment="1">
      <alignment horizontal="center"/>
    </xf>
    <xf numFmtId="0" fontId="0" fillId="0" borderId="15" xfId="0" applyBorder="1"/>
    <xf numFmtId="0" fontId="0" fillId="0" borderId="26" xfId="0" applyBorder="1"/>
    <xf numFmtId="166" fontId="69" fillId="0" borderId="32" xfId="5" applyFont="1" applyBorder="1" applyAlignment="1">
      <alignment vertical="center"/>
    </xf>
    <xf numFmtId="0" fontId="0" fillId="0" borderId="15" xfId="0" applyBorder="1" applyAlignment="1">
      <alignment horizontal="center"/>
    </xf>
    <xf numFmtId="3" fontId="69" fillId="0" borderId="24" xfId="0" applyNumberFormat="1" applyFont="1" applyBorder="1" applyAlignment="1">
      <alignment horizontal="center"/>
    </xf>
    <xf numFmtId="166" fontId="69" fillId="0" borderId="15" xfId="5" applyFont="1" applyBorder="1" applyAlignment="1">
      <alignment horizontal="center"/>
    </xf>
    <xf numFmtId="0" fontId="0" fillId="0" borderId="23" xfId="0" applyBorder="1" applyAlignment="1">
      <alignment vertical="center"/>
    </xf>
    <xf numFmtId="0" fontId="18" fillId="0" borderId="25" xfId="0" applyFont="1" applyBorder="1" applyAlignment="1">
      <alignment horizontal="center"/>
    </xf>
    <xf numFmtId="0" fontId="0" fillId="0" borderId="25" xfId="0" applyBorder="1"/>
    <xf numFmtId="0" fontId="0" fillId="0" borderId="25" xfId="0" applyBorder="1" applyAlignment="1">
      <alignment horizontal="center"/>
    </xf>
    <xf numFmtId="0" fontId="18" fillId="0" borderId="24" xfId="0" applyFont="1" applyBorder="1" applyAlignment="1">
      <alignment horizontal="center"/>
    </xf>
    <xf numFmtId="166" fontId="69" fillId="0" borderId="15" xfId="5" applyFont="1" applyBorder="1" applyAlignment="1">
      <alignment vertical="center"/>
    </xf>
    <xf numFmtId="0" fontId="0" fillId="0" borderId="26" xfId="0" applyBorder="1" applyAlignment="1">
      <alignment horizontal="center"/>
    </xf>
    <xf numFmtId="3" fontId="69" fillId="0" borderId="15" xfId="0" applyNumberFormat="1" applyFont="1" applyBorder="1" applyAlignment="1">
      <alignment horizontal="center"/>
    </xf>
    <xf numFmtId="166" fontId="69" fillId="0" borderId="26" xfId="5" applyFont="1" applyBorder="1" applyAlignment="1">
      <alignment horizontal="center"/>
    </xf>
    <xf numFmtId="0" fontId="18" fillId="0" borderId="23" xfId="0" applyFont="1" applyBorder="1" applyAlignment="1">
      <alignment horizontal="center"/>
    </xf>
    <xf numFmtId="166" fontId="69" fillId="0" borderId="25" xfId="5" applyFont="1" applyBorder="1" applyAlignment="1">
      <alignment vertical="center"/>
    </xf>
    <xf numFmtId="3" fontId="69" fillId="0" borderId="25" xfId="0" applyNumberFormat="1" applyFont="1" applyBorder="1" applyAlignment="1">
      <alignment horizontal="center"/>
    </xf>
    <xf numFmtId="166" fontId="69" fillId="0" borderId="0" xfId="5" applyFont="1" applyAlignment="1">
      <alignment horizontal="center"/>
    </xf>
    <xf numFmtId="0" fontId="0" fillId="0" borderId="29" xfId="0" applyBorder="1" applyAlignment="1">
      <alignment vertical="center"/>
    </xf>
    <xf numFmtId="0" fontId="18" fillId="0" borderId="27" xfId="0" applyFont="1" applyBorder="1" applyAlignment="1">
      <alignment horizontal="center"/>
    </xf>
    <xf numFmtId="0" fontId="0" fillId="0" borderId="27" xfId="0" applyBorder="1"/>
    <xf numFmtId="0" fontId="0" fillId="0" borderId="28" xfId="0" applyBorder="1"/>
    <xf numFmtId="0" fontId="0" fillId="0" borderId="27" xfId="0" applyBorder="1" applyAlignment="1">
      <alignment horizontal="center"/>
    </xf>
    <xf numFmtId="166" fontId="69" fillId="0" borderId="25" xfId="5" applyFont="1" applyBorder="1" applyAlignment="1">
      <alignment horizontal="center"/>
    </xf>
    <xf numFmtId="0" fontId="0" fillId="5" borderId="24" xfId="0" applyFill="1" applyBorder="1" applyAlignment="1">
      <alignment vertical="center"/>
    </xf>
    <xf numFmtId="0" fontId="0" fillId="5" borderId="23" xfId="0" applyFill="1" applyBorder="1" applyAlignment="1">
      <alignment vertical="center"/>
    </xf>
    <xf numFmtId="0" fontId="0" fillId="5" borderId="29" xfId="0" applyFill="1" applyBorder="1" applyAlignment="1">
      <alignment vertical="center"/>
    </xf>
    <xf numFmtId="166" fontId="69" fillId="0" borderId="27" xfId="5" applyFont="1" applyBorder="1" applyAlignment="1">
      <alignment horizontal="center"/>
    </xf>
    <xf numFmtId="166" fontId="71" fillId="6" borderId="27" xfId="5" applyFont="1" applyFill="1" applyBorder="1" applyAlignment="1">
      <alignment horizontal="left"/>
    </xf>
    <xf numFmtId="166" fontId="71" fillId="6" borderId="27" xfId="0" applyNumberFormat="1" applyFont="1" applyFill="1" applyBorder="1" applyAlignment="1">
      <alignment horizontal="left"/>
    </xf>
    <xf numFmtId="10" fontId="71" fillId="0" borderId="0" xfId="0" applyNumberFormat="1" applyFont="1" applyAlignment="1">
      <alignment horizontal="right"/>
    </xf>
    <xf numFmtId="9" fontId="71" fillId="6" borderId="27" xfId="2" applyFont="1" applyFill="1" applyBorder="1" applyAlignment="1">
      <alignment horizontal="center"/>
    </xf>
    <xf numFmtId="0" fontId="72" fillId="4" borderId="1" xfId="0" applyFont="1" applyFill="1" applyBorder="1" applyAlignment="1">
      <alignment horizontal="center"/>
    </xf>
    <xf numFmtId="0" fontId="73" fillId="4" borderId="1" xfId="0" applyFont="1" applyFill="1" applyBorder="1" applyAlignment="1">
      <alignment horizontal="center"/>
    </xf>
    <xf numFmtId="0" fontId="74" fillId="0" borderId="1" xfId="0" applyFont="1" applyBorder="1" applyAlignment="1">
      <alignment horizontal="left"/>
    </xf>
    <xf numFmtId="166" fontId="74" fillId="0" borderId="1" xfId="5" applyFont="1" applyBorder="1" applyAlignment="1">
      <alignment horizontal="right"/>
    </xf>
    <xf numFmtId="10" fontId="74" fillId="0" borderId="1" xfId="0" applyNumberFormat="1" applyFont="1" applyBorder="1" applyAlignment="1">
      <alignment horizontal="right"/>
    </xf>
    <xf numFmtId="166" fontId="74" fillId="0" borderId="1" xfId="0" applyNumberFormat="1" applyFont="1" applyBorder="1" applyAlignment="1">
      <alignment horizontal="left"/>
    </xf>
    <xf numFmtId="10" fontId="74" fillId="0" borderId="1" xfId="2" applyNumberFormat="1" applyFont="1" applyBorder="1" applyAlignment="1">
      <alignment horizontal="right"/>
    </xf>
    <xf numFmtId="0" fontId="71" fillId="6" borderId="0" xfId="0" applyFont="1" applyFill="1" applyAlignment="1">
      <alignment horizontal="left"/>
    </xf>
    <xf numFmtId="166" fontId="71" fillId="6" borderId="0" xfId="0" applyNumberFormat="1" applyFont="1" applyFill="1" applyAlignment="1">
      <alignment horizontal="left"/>
    </xf>
    <xf numFmtId="10" fontId="71" fillId="6" borderId="0" xfId="0" applyNumberFormat="1" applyFont="1" applyFill="1" applyAlignment="1">
      <alignment horizontal="right"/>
    </xf>
    <xf numFmtId="3" fontId="76" fillId="0" borderId="0" xfId="0" applyNumberFormat="1" applyFont="1"/>
    <xf numFmtId="43" fontId="0" fillId="0" borderId="0" xfId="0" applyNumberFormat="1"/>
    <xf numFmtId="4" fontId="3" fillId="0" borderId="0" xfId="0" applyNumberFormat="1" applyFont="1"/>
    <xf numFmtId="175" fontId="77" fillId="0" borderId="1" xfId="1" applyNumberFormat="1" applyFont="1" applyBorder="1" applyAlignment="1">
      <alignment horizontal="right" vertical="center"/>
    </xf>
    <xf numFmtId="3" fontId="78" fillId="0" borderId="1" xfId="0" applyNumberFormat="1" applyFont="1" applyBorder="1" applyAlignment="1">
      <alignment horizontal="right" vertical="center"/>
    </xf>
    <xf numFmtId="0" fontId="37" fillId="0" borderId="0" xfId="0" applyFont="1" applyAlignment="1">
      <alignment horizontal="left" vertical="center" wrapText="1"/>
    </xf>
    <xf numFmtId="0" fontId="38" fillId="4" borderId="1" xfId="0" applyFont="1" applyFill="1" applyBorder="1" applyAlignment="1">
      <alignment horizontal="justify" vertical="center" wrapText="1"/>
    </xf>
    <xf numFmtId="0" fontId="39" fillId="0" borderId="0" xfId="0" applyFont="1" applyAlignment="1">
      <alignment horizontal="left" vertical="center"/>
    </xf>
    <xf numFmtId="0" fontId="19" fillId="4" borderId="1" xfId="0" applyFont="1" applyFill="1" applyBorder="1" applyAlignment="1">
      <alignment horizontal="center" vertical="center" wrapText="1"/>
    </xf>
    <xf numFmtId="0" fontId="17" fillId="0" borderId="0" xfId="0" applyFont="1" applyAlignment="1">
      <alignment horizontal="left" vertical="center"/>
    </xf>
    <xf numFmtId="0" fontId="37" fillId="0" borderId="0" xfId="0" applyFont="1" applyAlignment="1">
      <alignment horizontal="left" vertical="center"/>
    </xf>
    <xf numFmtId="0" fontId="45" fillId="4" borderId="1" xfId="0" applyFont="1" applyFill="1" applyBorder="1" applyAlignment="1">
      <alignment horizontal="center" vertical="center"/>
    </xf>
    <xf numFmtId="0" fontId="45" fillId="4"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27" fillId="4" borderId="1" xfId="0" applyFont="1" applyFill="1" applyBorder="1" applyAlignment="1">
      <alignment vertical="center" wrapText="1"/>
    </xf>
    <xf numFmtId="0" fontId="29" fillId="0" borderId="1" xfId="0" applyFont="1" applyBorder="1" applyAlignment="1">
      <alignment vertical="center" wrapText="1"/>
    </xf>
    <xf numFmtId="0" fontId="17" fillId="0" borderId="0" xfId="0" applyFont="1" applyAlignment="1">
      <alignment horizontal="left" vertical="center" wrapText="1"/>
    </xf>
    <xf numFmtId="0" fontId="27" fillId="4" borderId="1" xfId="0" applyFont="1" applyFill="1" applyBorder="1" applyAlignment="1">
      <alignment horizontal="center" vertical="center"/>
    </xf>
    <xf numFmtId="0" fontId="48" fillId="4" borderId="1" xfId="0" applyFont="1" applyFill="1" applyBorder="1" applyAlignment="1">
      <alignment horizontal="center" vertical="center"/>
    </xf>
    <xf numFmtId="0" fontId="27" fillId="9" borderId="1" xfId="0" applyFont="1" applyFill="1" applyBorder="1" applyAlignment="1">
      <alignment horizontal="center" vertical="center" wrapText="1"/>
    </xf>
    <xf numFmtId="0" fontId="17" fillId="0" borderId="0" xfId="0" applyFont="1" applyAlignment="1">
      <alignment horizontal="left" wrapText="1"/>
    </xf>
    <xf numFmtId="0" fontId="38" fillId="4" borderId="21" xfId="0" applyFont="1" applyFill="1" applyBorder="1" applyAlignment="1">
      <alignment horizontal="center" vertical="center"/>
    </xf>
    <xf numFmtId="0" fontId="27" fillId="4" borderId="10" xfId="0" applyFont="1" applyFill="1" applyBorder="1" applyAlignment="1">
      <alignment horizontal="center" vertical="center" wrapText="1"/>
    </xf>
    <xf numFmtId="0" fontId="45" fillId="4" borderId="23" xfId="0" applyFont="1" applyFill="1" applyBorder="1" applyAlignment="1">
      <alignment horizontal="center" wrapText="1"/>
    </xf>
    <xf numFmtId="0" fontId="58" fillId="0" borderId="0" xfId="0" applyFont="1" applyAlignment="1">
      <alignment horizontal="justify"/>
    </xf>
    <xf numFmtId="0" fontId="61" fillId="4" borderId="23" xfId="0" applyFont="1" applyFill="1" applyBorder="1" applyAlignment="1">
      <alignment horizontal="center"/>
    </xf>
    <xf numFmtId="0" fontId="62" fillId="0" borderId="0" xfId="0" applyFont="1" applyAlignment="1">
      <alignment horizontal="center"/>
    </xf>
    <xf numFmtId="0" fontId="6" fillId="5" borderId="0" xfId="0" applyFont="1" applyFill="1" applyAlignment="1">
      <alignment horizontal="left" vertical="top" wrapText="1"/>
    </xf>
    <xf numFmtId="0" fontId="9" fillId="5" borderId="0" xfId="0" applyFont="1" applyFill="1" applyAlignment="1">
      <alignment horizontal="left" vertical="top" wrapText="1"/>
    </xf>
    <xf numFmtId="0" fontId="63" fillId="0" borderId="0" xfId="0" applyFont="1" applyAlignment="1">
      <alignment horizontal="left" wrapText="1"/>
    </xf>
    <xf numFmtId="0" fontId="64" fillId="0" borderId="0" xfId="0" applyFont="1" applyAlignment="1">
      <alignment horizontal="left" vertical="center" wrapText="1"/>
    </xf>
    <xf numFmtId="0" fontId="62" fillId="0" borderId="0" xfId="0" applyFont="1" applyAlignment="1">
      <alignment horizontal="left"/>
    </xf>
    <xf numFmtId="0" fontId="63" fillId="0" borderId="0" xfId="0" applyFont="1" applyAlignment="1">
      <alignment horizontal="left"/>
    </xf>
    <xf numFmtId="0" fontId="66" fillId="0" borderId="0" xfId="0" applyFont="1" applyAlignment="1">
      <alignment horizontal="left" vertical="center"/>
    </xf>
    <xf numFmtId="0" fontId="67" fillId="0" borderId="0" xfId="0" applyFont="1" applyAlignment="1">
      <alignment horizontal="left"/>
    </xf>
    <xf numFmtId="0" fontId="63" fillId="0" borderId="0" xfId="0" applyFont="1" applyAlignment="1">
      <alignment horizontal="left" vertical="center" wrapText="1"/>
    </xf>
    <xf numFmtId="0" fontId="63" fillId="0" borderId="1" xfId="0" applyFont="1" applyBorder="1" applyAlignment="1">
      <alignment horizontal="left"/>
    </xf>
    <xf numFmtId="0" fontId="69" fillId="0" borderId="23" xfId="0" applyFont="1" applyBorder="1" applyAlignment="1">
      <alignment horizontal="center" vertical="top"/>
    </xf>
    <xf numFmtId="0" fontId="69" fillId="0" borderId="1" xfId="0" applyFont="1" applyBorder="1" applyAlignment="1">
      <alignment horizontal="center" vertical="top"/>
    </xf>
    <xf numFmtId="0" fontId="69" fillId="0" borderId="30" xfId="0" applyFont="1" applyBorder="1" applyAlignment="1">
      <alignment horizontal="center" vertical="top"/>
    </xf>
    <xf numFmtId="0" fontId="69" fillId="0" borderId="29" xfId="0" applyFont="1" applyBorder="1" applyAlignment="1">
      <alignment horizontal="center" vertical="top"/>
    </xf>
    <xf numFmtId="0" fontId="71" fillId="6" borderId="27" xfId="0" applyFont="1" applyFill="1" applyBorder="1" applyAlignment="1">
      <alignment horizontal="center"/>
    </xf>
    <xf numFmtId="0" fontId="2" fillId="3" borderId="1" xfId="0" applyFont="1" applyFill="1" applyBorder="1" applyAlignment="1">
      <alignment horizontal="center" vertical="center" wrapText="1"/>
    </xf>
    <xf numFmtId="0" fontId="4" fillId="0" borderId="0" xfId="0" applyFont="1" applyAlignment="1">
      <alignment horizontal="center" vertical="center" wrapText="1"/>
    </xf>
    <xf numFmtId="0" fontId="5" fillId="4" borderId="2" xfId="0" applyFont="1" applyFill="1" applyBorder="1" applyAlignment="1">
      <alignment horizontal="center" vertical="center" wrapText="1"/>
    </xf>
    <xf numFmtId="3" fontId="5" fillId="4" borderId="2" xfId="0" applyNumberFormat="1" applyFont="1" applyFill="1" applyBorder="1" applyAlignment="1">
      <alignment horizontal="center" vertical="center" wrapText="1"/>
    </xf>
    <xf numFmtId="0" fontId="17" fillId="6" borderId="0" xfId="0" applyFont="1" applyFill="1" applyAlignment="1">
      <alignment horizontal="left" vertical="center"/>
    </xf>
    <xf numFmtId="3" fontId="8" fillId="5" borderId="10" xfId="0" applyNumberFormat="1" applyFont="1" applyFill="1" applyBorder="1" applyAlignment="1">
      <alignment horizontal="right" vertical="center" wrapText="1"/>
    </xf>
    <xf numFmtId="0" fontId="6" fillId="0" borderId="10" xfId="0" applyFont="1" applyBorder="1" applyAlignment="1">
      <alignment vertical="center" wrapText="1"/>
    </xf>
    <xf numFmtId="0" fontId="13" fillId="4" borderId="11" xfId="0" applyFont="1" applyFill="1" applyBorder="1" applyAlignment="1">
      <alignment vertical="center" wrapText="1"/>
    </xf>
    <xf numFmtId="3" fontId="14" fillId="4" borderId="12" xfId="0" applyNumberFormat="1"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3" fillId="4" borderId="12" xfId="0" applyFont="1" applyFill="1" applyBorder="1" applyAlignment="1">
      <alignment vertical="center" wrapText="1"/>
    </xf>
    <xf numFmtId="0" fontId="14" fillId="4" borderId="13" xfId="0" applyFont="1" applyFill="1" applyBorder="1" applyAlignment="1">
      <alignment horizontal="center" vertical="center" wrapText="1"/>
    </xf>
    <xf numFmtId="4" fontId="8" fillId="0" borderId="9" xfId="0" applyNumberFormat="1" applyFont="1" applyBorder="1" applyAlignment="1">
      <alignment horizontal="right" vertical="center" wrapText="1"/>
    </xf>
    <xf numFmtId="4" fontId="8" fillId="0" borderId="10" xfId="0" applyNumberFormat="1" applyFont="1" applyBorder="1" applyAlignment="1">
      <alignment horizontal="right" vertical="center" wrapText="1"/>
    </xf>
    <xf numFmtId="4" fontId="6" fillId="0" borderId="10" xfId="0" applyNumberFormat="1" applyFont="1" applyBorder="1" applyAlignment="1">
      <alignment vertical="center" wrapText="1"/>
    </xf>
    <xf numFmtId="0" fontId="8" fillId="0" borderId="10" xfId="0" applyFont="1" applyBorder="1" applyAlignment="1">
      <alignment horizontal="left" vertical="center" wrapText="1"/>
    </xf>
    <xf numFmtId="4" fontId="8" fillId="5" borderId="10" xfId="0" applyNumberFormat="1" applyFont="1" applyFill="1" applyBorder="1" applyAlignment="1">
      <alignment horizontal="right" vertical="center" wrapText="1"/>
    </xf>
    <xf numFmtId="0" fontId="18" fillId="0" borderId="0" xfId="0" applyFont="1" applyAlignment="1">
      <alignment horizontal="center" vertical="center" wrapText="1"/>
    </xf>
    <xf numFmtId="0" fontId="24" fillId="0" borderId="0" xfId="0" applyFont="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xf>
    <xf numFmtId="0" fontId="18" fillId="0" borderId="0" xfId="0" applyFont="1" applyAlignment="1">
      <alignment horizontal="center" vertical="center"/>
    </xf>
    <xf numFmtId="0" fontId="30" fillId="0" borderId="0" xfId="0" applyFont="1" applyAlignment="1">
      <alignment horizontal="center" vertical="center"/>
    </xf>
    <xf numFmtId="0" fontId="31" fillId="0" borderId="1" xfId="0" applyFont="1" applyBorder="1" applyAlignment="1">
      <alignment vertical="center" wrapText="1"/>
    </xf>
    <xf numFmtId="3" fontId="31" fillId="0" borderId="1" xfId="0" applyNumberFormat="1" applyFont="1" applyBorder="1" applyAlignment="1">
      <alignment horizontal="right" vertical="center"/>
    </xf>
  </cellXfs>
  <cellStyles count="9">
    <cellStyle name="Excel Built-in Accent6" xfId="8" xr:uid="{00000000-0005-0000-0000-00000B000000}"/>
    <cellStyle name="Excel Built-in Comma [0]" xfId="7" xr:uid="{00000000-0005-0000-0000-00000A000000}"/>
    <cellStyle name="Millares" xfId="1" builtinId="3"/>
    <cellStyle name="Millares [0] 2" xfId="5" xr:uid="{00000000-0005-0000-0000-000008000000}"/>
    <cellStyle name="Millares 2" xfId="3" xr:uid="{00000000-0005-0000-0000-000006000000}"/>
    <cellStyle name="Millares 3" xfId="4" xr:uid="{00000000-0005-0000-0000-000007000000}"/>
    <cellStyle name="Normal" xfId="0" builtinId="0"/>
    <cellStyle name="Normal 2" xfId="6" xr:uid="{00000000-0005-0000-0000-000009000000}"/>
    <cellStyle name="Porcentaje" xfId="2"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D9D9D9"/>
      <rgbColor rgb="FF808080"/>
      <rgbColor rgb="FF9999FF"/>
      <rgbColor rgb="FF993366"/>
      <rgbColor rgb="FFFFF2CC"/>
      <rgbColor rgb="FFF2F2F2"/>
      <rgbColor rgb="FF660066"/>
      <rgbColor rgb="FFFF8080"/>
      <rgbColor rgb="FF0066CC"/>
      <rgbColor rgb="FFD4D4D4"/>
      <rgbColor rgb="FF000080"/>
      <rgbColor rgb="FFFF00FF"/>
      <rgbColor rgb="FFFFFF00"/>
      <rgbColor rgb="FF00FFFF"/>
      <rgbColor rgb="FF800080"/>
      <rgbColor rgb="FF800000"/>
      <rgbColor rgb="FF008080"/>
      <rgbColor rgb="FF0000FF"/>
      <rgbColor rgb="FF00CCFF"/>
      <rgbColor rgb="FFCCFFFF"/>
      <rgbColor rgb="FFCCFFCC"/>
      <rgbColor rgb="FFFFD966"/>
      <rgbColor rgb="FF99CCFF"/>
      <rgbColor rgb="FFFF99CC"/>
      <rgbColor rgb="FFCC99FF"/>
      <rgbColor rgb="FFFFC7CE"/>
      <rgbColor rgb="FF4472C4"/>
      <rgbColor rgb="FF33CCCC"/>
      <rgbColor rgb="FF99CC00"/>
      <rgbColor rgb="FFE0BE5A"/>
      <rgbColor rgb="FFFF9900"/>
      <rgbColor rgb="FFFF6600"/>
      <rgbColor rgb="FF666699"/>
      <rgbColor rgb="FF70AD47"/>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300960</xdr:colOff>
      <xdr:row>6</xdr:row>
      <xdr:rowOff>150480</xdr:rowOff>
    </xdr:from>
    <xdr:to>
      <xdr:col>5</xdr:col>
      <xdr:colOff>885960</xdr:colOff>
      <xdr:row>11</xdr:row>
      <xdr:rowOff>33840</xdr:rowOff>
    </xdr:to>
    <xdr:pic>
      <xdr:nvPicPr>
        <xdr:cNvPr id="2" name="Imagen 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539360" y="1284120"/>
          <a:ext cx="3705840" cy="83556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2333160</xdr:colOff>
      <xdr:row>2</xdr:row>
      <xdr:rowOff>184320</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754920" y="0"/>
          <a:ext cx="2333160" cy="56520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2333160</xdr:colOff>
      <xdr:row>2</xdr:row>
      <xdr:rowOff>184320</xdr:rowOff>
    </xdr:to>
    <xdr:pic>
      <xdr:nvPicPr>
        <xdr:cNvPr id="3" name="Imagen 1">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stretch/>
      </xdr:blipFill>
      <xdr:spPr>
        <a:xfrm>
          <a:off x="754920" y="0"/>
          <a:ext cx="2333160" cy="565200"/>
        </a:xfrm>
        <a:prstGeom prst="rect">
          <a:avLst/>
        </a:prstGeom>
        <a:noFill/>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2333160</xdr:colOff>
      <xdr:row>3</xdr:row>
      <xdr:rowOff>184320</xdr:rowOff>
    </xdr:to>
    <xdr:pic>
      <xdr:nvPicPr>
        <xdr:cNvPr id="4" name="Imagen 1">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stretch/>
      </xdr:blipFill>
      <xdr:spPr>
        <a:xfrm>
          <a:off x="332280" y="190440"/>
          <a:ext cx="2333160" cy="565560"/>
        </a:xfrm>
        <a:prstGeom prst="rect">
          <a:avLst/>
        </a:prstGeom>
        <a:noFill/>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1614240</xdr:colOff>
      <xdr:row>2</xdr:row>
      <xdr:rowOff>184320</xdr:rowOff>
    </xdr:to>
    <xdr:pic>
      <xdr:nvPicPr>
        <xdr:cNvPr id="5" name="Imagen 1">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1"/>
        <a:stretch/>
      </xdr:blipFill>
      <xdr:spPr>
        <a:xfrm>
          <a:off x="0" y="0"/>
          <a:ext cx="2369160" cy="565200"/>
        </a:xfrm>
        <a:prstGeom prst="rect">
          <a:avLst/>
        </a:prstGeom>
        <a:noFill/>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2329560</xdr:colOff>
      <xdr:row>2</xdr:row>
      <xdr:rowOff>178920</xdr:rowOff>
    </xdr:to>
    <xdr:pic>
      <xdr:nvPicPr>
        <xdr:cNvPr id="6" name="Imagen 1">
          <a:extLst>
            <a:ext uri="{FF2B5EF4-FFF2-40B4-BE49-F238E27FC236}">
              <a16:creationId xmlns:a16="http://schemas.microsoft.com/office/drawing/2014/main" id="{00000000-0008-0000-0500-000006000000}"/>
            </a:ext>
          </a:extLst>
        </xdr:cNvPr>
        <xdr:cNvPicPr/>
      </xdr:nvPicPr>
      <xdr:blipFill>
        <a:blip xmlns:r="http://schemas.openxmlformats.org/officeDocument/2006/relationships" r:embed="rId1"/>
        <a:stretch/>
      </xdr:blipFill>
      <xdr:spPr>
        <a:xfrm>
          <a:off x="1007280" y="0"/>
          <a:ext cx="2329560" cy="559800"/>
        </a:xfrm>
        <a:prstGeom prst="rect">
          <a:avLst/>
        </a:prstGeom>
        <a:noFill/>
        <a:ln w="0">
          <a:noFill/>
        </a:ln>
      </xdr:spPr>
    </xdr:pic>
    <xdr:clientData/>
  </xdr:twoCellAnchor>
</xdr:wsDr>
</file>

<file path=xl/theme/theme1.xml><?xml version="1.0" encoding="utf-8"?>
<a:theme xmlns:a="http://schemas.openxmlformats.org/drawingml/2006/main" name="Office 2013 - Tema de 2022">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D966"/>
    <pageSetUpPr fitToPage="1"/>
  </sheetPr>
  <dimension ref="C4:G26"/>
  <sheetViews>
    <sheetView showGridLines="0" zoomScale="95" zoomScaleNormal="95" workbookViewId="0">
      <selection activeCell="A2" sqref="A2"/>
    </sheetView>
  </sheetViews>
  <sheetFormatPr baseColWidth="10" defaultColWidth="10.7109375" defaultRowHeight="15" x14ac:dyDescent="0.25"/>
  <cols>
    <col min="1" max="1" width="1.5703125" customWidth="1"/>
    <col min="2" max="2" width="2" customWidth="1"/>
    <col min="3" max="3" width="14" customWidth="1"/>
    <col min="4" max="4" width="20.5703125" customWidth="1"/>
    <col min="5" max="5" width="23.7109375" customWidth="1"/>
    <col min="6" max="6" width="36.28515625" customWidth="1"/>
    <col min="7" max="7" width="25.5703125" hidden="1" customWidth="1"/>
  </cols>
  <sheetData>
    <row r="4" spans="3:7" ht="14.25" customHeight="1" x14ac:dyDescent="0.25">
      <c r="C4" s="442" t="s">
        <v>0</v>
      </c>
      <c r="D4" s="442"/>
      <c r="E4" s="442"/>
      <c r="F4" s="442"/>
      <c r="G4" s="442"/>
    </row>
    <row r="5" spans="3:7" x14ac:dyDescent="0.25">
      <c r="C5" s="442"/>
      <c r="D5" s="442"/>
      <c r="E5" s="442"/>
      <c r="F5" s="442"/>
      <c r="G5" s="442"/>
    </row>
    <row r="6" spans="3:7" x14ac:dyDescent="0.25">
      <c r="C6" s="442"/>
      <c r="D6" s="442"/>
      <c r="E6" s="442"/>
      <c r="F6" s="442"/>
      <c r="G6" s="442"/>
    </row>
    <row r="7" spans="3:7" x14ac:dyDescent="0.25">
      <c r="C7" s="442"/>
      <c r="D7" s="442"/>
      <c r="E7" s="442"/>
      <c r="F7" s="442"/>
      <c r="G7" s="442"/>
    </row>
    <row r="8" spans="3:7" x14ac:dyDescent="0.25">
      <c r="C8" s="442"/>
      <c r="D8" s="442"/>
      <c r="E8" s="442"/>
      <c r="F8" s="442"/>
      <c r="G8" s="442"/>
    </row>
    <row r="9" spans="3:7" x14ac:dyDescent="0.25">
      <c r="C9" s="442"/>
      <c r="D9" s="442"/>
      <c r="E9" s="442"/>
      <c r="F9" s="442"/>
      <c r="G9" s="442"/>
    </row>
    <row r="10" spans="3:7" x14ac:dyDescent="0.25">
      <c r="C10" s="442"/>
      <c r="D10" s="442"/>
      <c r="E10" s="442"/>
      <c r="F10" s="442"/>
      <c r="G10" s="442"/>
    </row>
    <row r="11" spans="3:7" x14ac:dyDescent="0.25">
      <c r="C11" s="442"/>
      <c r="D11" s="442"/>
      <c r="E11" s="442"/>
      <c r="F11" s="442"/>
      <c r="G11" s="442"/>
    </row>
    <row r="12" spans="3:7" x14ac:dyDescent="0.25">
      <c r="C12" s="442"/>
      <c r="D12" s="442"/>
      <c r="E12" s="442"/>
      <c r="F12" s="442"/>
      <c r="G12" s="442"/>
    </row>
    <row r="13" spans="3:7" x14ac:dyDescent="0.25">
      <c r="C13" s="442"/>
      <c r="D13" s="442"/>
      <c r="E13" s="442"/>
      <c r="F13" s="442"/>
      <c r="G13" s="442"/>
    </row>
    <row r="14" spans="3:7" x14ac:dyDescent="0.25">
      <c r="C14" s="442"/>
      <c r="D14" s="442"/>
      <c r="E14" s="442"/>
      <c r="F14" s="442"/>
      <c r="G14" s="442"/>
    </row>
    <row r="15" spans="3:7" x14ac:dyDescent="0.25">
      <c r="C15" s="442"/>
      <c r="D15" s="442"/>
      <c r="E15" s="442"/>
      <c r="F15" s="442"/>
      <c r="G15" s="442"/>
    </row>
    <row r="16" spans="3:7" x14ac:dyDescent="0.25">
      <c r="C16" s="442"/>
      <c r="D16" s="442"/>
      <c r="E16" s="442"/>
      <c r="F16" s="442"/>
      <c r="G16" s="442"/>
    </row>
    <row r="17" spans="3:7" x14ac:dyDescent="0.25">
      <c r="C17" s="442"/>
      <c r="D17" s="442"/>
      <c r="E17" s="442"/>
      <c r="F17" s="442"/>
      <c r="G17" s="442"/>
    </row>
    <row r="18" spans="3:7" ht="1.5" customHeight="1" x14ac:dyDescent="0.25">
      <c r="C18" s="442"/>
      <c r="D18" s="442"/>
      <c r="E18" s="442"/>
      <c r="F18" s="442"/>
      <c r="G18" s="442"/>
    </row>
    <row r="19" spans="3:7" x14ac:dyDescent="0.25">
      <c r="C19" s="442"/>
      <c r="D19" s="442"/>
      <c r="E19" s="442"/>
      <c r="F19" s="442"/>
      <c r="G19" s="442"/>
    </row>
    <row r="20" spans="3:7" x14ac:dyDescent="0.25">
      <c r="C20" s="442"/>
      <c r="D20" s="442"/>
      <c r="E20" s="442"/>
      <c r="F20" s="442"/>
      <c r="G20" s="442"/>
    </row>
    <row r="21" spans="3:7" x14ac:dyDescent="0.25">
      <c r="C21" s="442"/>
      <c r="D21" s="442"/>
      <c r="E21" s="442"/>
      <c r="F21" s="442"/>
      <c r="G21" s="442"/>
    </row>
    <row r="22" spans="3:7" ht="9" customHeight="1" x14ac:dyDescent="0.25">
      <c r="C22" s="442"/>
      <c r="D22" s="442"/>
      <c r="E22" s="442"/>
      <c r="F22" s="442"/>
      <c r="G22" s="442"/>
    </row>
    <row r="23" spans="3:7" hidden="1" x14ac:dyDescent="0.25">
      <c r="C23" s="442"/>
      <c r="D23" s="442"/>
      <c r="E23" s="442"/>
      <c r="F23" s="442"/>
      <c r="G23" s="442"/>
    </row>
    <row r="24" spans="3:7" hidden="1" x14ac:dyDescent="0.25">
      <c r="C24" s="442"/>
      <c r="D24" s="442"/>
      <c r="E24" s="442"/>
      <c r="F24" s="442"/>
      <c r="G24" s="442"/>
    </row>
    <row r="25" spans="3:7" hidden="1" x14ac:dyDescent="0.25">
      <c r="C25" s="442"/>
      <c r="D25" s="442"/>
      <c r="E25" s="442"/>
      <c r="F25" s="442"/>
      <c r="G25" s="442"/>
    </row>
    <row r="26" spans="3:7" ht="90" customHeight="1" x14ac:dyDescent="0.25">
      <c r="C26" s="442"/>
      <c r="D26" s="442"/>
      <c r="E26" s="442"/>
      <c r="F26" s="442"/>
      <c r="G26" s="442"/>
    </row>
  </sheetData>
  <mergeCells count="1">
    <mergeCell ref="C4:G26"/>
  </mergeCells>
  <pageMargins left="0.70833333333333304" right="0.70833333333333304" top="0.74791666666666701" bottom="0.74791666666666701"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D966"/>
  </sheetPr>
  <dimension ref="B4:H70"/>
  <sheetViews>
    <sheetView showGridLines="0" tabSelected="1" topLeftCell="A36" zoomScale="102" zoomScaleNormal="102" workbookViewId="0">
      <selection activeCell="F56" sqref="F56:F57"/>
    </sheetView>
  </sheetViews>
  <sheetFormatPr baseColWidth="10" defaultColWidth="10.7109375" defaultRowHeight="15" x14ac:dyDescent="0.25"/>
  <cols>
    <col min="2" max="2" width="40.28515625" customWidth="1"/>
    <col min="3" max="3" width="15.7109375" style="11" customWidth="1"/>
    <col min="4" max="4" width="15.7109375" style="12" customWidth="1"/>
    <col min="5" max="5" width="41.42578125" style="12" customWidth="1"/>
    <col min="6" max="6" width="17.42578125" style="12" customWidth="1"/>
    <col min="7" max="7" width="13.42578125" style="12" customWidth="1"/>
    <col min="8" max="8" width="15.28515625" customWidth="1"/>
  </cols>
  <sheetData>
    <row r="4" spans="2:7" ht="15" customHeight="1" x14ac:dyDescent="0.25">
      <c r="B4" s="443" t="s">
        <v>776</v>
      </c>
      <c r="C4" s="443"/>
      <c r="D4" s="443"/>
      <c r="E4" s="443"/>
      <c r="F4" s="443"/>
      <c r="G4" s="443"/>
    </row>
    <row r="5" spans="2:7" x14ac:dyDescent="0.25">
      <c r="B5" s="443"/>
      <c r="C5" s="443"/>
      <c r="D5" s="443"/>
      <c r="E5" s="443"/>
      <c r="F5" s="443"/>
      <c r="G5" s="443"/>
    </row>
    <row r="6" spans="2:7" x14ac:dyDescent="0.25">
      <c r="B6" s="443"/>
      <c r="C6" s="443"/>
      <c r="D6" s="443"/>
      <c r="E6" s="443"/>
      <c r="F6" s="443"/>
      <c r="G6" s="443"/>
    </row>
    <row r="7" spans="2:7" ht="15.75" customHeight="1" x14ac:dyDescent="0.25"/>
    <row r="8" spans="2:7" ht="15" customHeight="1" x14ac:dyDescent="0.25">
      <c r="B8" s="444" t="s">
        <v>1</v>
      </c>
      <c r="C8" s="445" t="s">
        <v>2</v>
      </c>
      <c r="D8" s="444" t="s">
        <v>3</v>
      </c>
      <c r="E8" s="444" t="s">
        <v>4</v>
      </c>
      <c r="F8" s="444" t="s">
        <v>5</v>
      </c>
      <c r="G8" s="444" t="s">
        <v>3</v>
      </c>
    </row>
    <row r="9" spans="2:7" ht="15.75" customHeight="1" x14ac:dyDescent="0.25">
      <c r="B9" s="444"/>
      <c r="C9" s="444"/>
      <c r="D9" s="444"/>
      <c r="E9" s="444"/>
      <c r="F9" s="444"/>
      <c r="G9" s="444"/>
    </row>
    <row r="10" spans="2:7" x14ac:dyDescent="0.25">
      <c r="B10" s="13" t="s">
        <v>6</v>
      </c>
      <c r="C10" s="14"/>
      <c r="D10" s="15"/>
      <c r="E10" s="16" t="s">
        <v>7</v>
      </c>
      <c r="F10" s="17"/>
      <c r="G10" s="17"/>
    </row>
    <row r="11" spans="2:7" x14ac:dyDescent="0.25">
      <c r="B11" s="18" t="s">
        <v>8</v>
      </c>
      <c r="C11" s="19">
        <f>+SUM(C12:C14)</f>
        <v>931243277.86000001</v>
      </c>
      <c r="D11" s="20">
        <f>+SUM(D12:D14)</f>
        <v>1074423240.4300001</v>
      </c>
      <c r="E11" s="21" t="s">
        <v>9</v>
      </c>
      <c r="F11" s="22">
        <f>+SUM(F12:F14)</f>
        <v>163818001.66960001</v>
      </c>
      <c r="G11" s="19">
        <f>+SUM(G12:G14)</f>
        <v>46262908.984000005</v>
      </c>
    </row>
    <row r="12" spans="2:7" x14ac:dyDescent="0.25">
      <c r="B12" s="23" t="s">
        <v>10</v>
      </c>
      <c r="C12" s="24">
        <v>0</v>
      </c>
      <c r="D12" s="25">
        <v>0</v>
      </c>
      <c r="E12" s="26" t="s">
        <v>11</v>
      </c>
      <c r="F12" s="24">
        <f>+'Notas a los EEFF'!C310</f>
        <v>116371258.8706</v>
      </c>
      <c r="G12" s="24">
        <f>+'Notas a los EEFF'!D310</f>
        <v>0</v>
      </c>
    </row>
    <row r="13" spans="2:7" x14ac:dyDescent="0.25">
      <c r="B13" s="23" t="s">
        <v>12</v>
      </c>
      <c r="C13" s="27">
        <f>+'Notas a los EEFF'!C96</f>
        <v>931243277.86000001</v>
      </c>
      <c r="D13" s="25">
        <f>+'Notas a los EEFF'!D96</f>
        <v>1074423240.4300001</v>
      </c>
      <c r="E13" s="26" t="s">
        <v>13</v>
      </c>
      <c r="F13" s="24">
        <f>+'Notas a los EEFF'!C304</f>
        <v>47446742.79900001</v>
      </c>
      <c r="G13" s="24">
        <f>+'Notas a los EEFF'!D304</f>
        <v>38599576.550000004</v>
      </c>
    </row>
    <row r="14" spans="2:7" ht="15" customHeight="1" x14ac:dyDescent="0.25">
      <c r="B14" s="23"/>
      <c r="C14" s="24"/>
      <c r="D14" s="29"/>
      <c r="E14" s="26" t="s">
        <v>14</v>
      </c>
      <c r="F14" s="28">
        <f>+'Notas a los EEFF'!C327</f>
        <v>0</v>
      </c>
      <c r="G14" s="30">
        <f>+'Notas a los EEFF'!D327</f>
        <v>7663332.4340000004</v>
      </c>
    </row>
    <row r="15" spans="2:7" x14ac:dyDescent="0.25">
      <c r="B15" s="18" t="s">
        <v>15</v>
      </c>
      <c r="C15" s="19">
        <f>+SUM(C16:C17)</f>
        <v>1143058229.8999999</v>
      </c>
      <c r="D15" s="20">
        <f>+SUM(D16:D17)</f>
        <v>1452254507.3300002</v>
      </c>
      <c r="E15" s="31"/>
      <c r="F15" s="32"/>
      <c r="G15" s="32"/>
    </row>
    <row r="16" spans="2:7" x14ac:dyDescent="0.25">
      <c r="B16" s="23" t="s">
        <v>16</v>
      </c>
      <c r="C16" s="24">
        <f>+'Notas a los EEFF'!D184</f>
        <v>186446331.43000001</v>
      </c>
      <c r="D16" s="25">
        <v>60607974.990000002</v>
      </c>
      <c r="E16" s="21" t="s">
        <v>17</v>
      </c>
      <c r="F16" s="19">
        <f>+SUM(F17:F18)</f>
        <v>0</v>
      </c>
      <c r="G16" s="19">
        <f>+SUM(G17:G18)</f>
        <v>0</v>
      </c>
    </row>
    <row r="17" spans="2:7" x14ac:dyDescent="0.25">
      <c r="B17" s="23" t="s">
        <v>18</v>
      </c>
      <c r="C17" s="24">
        <f>+'Notas a los EEFF'!D183</f>
        <v>956611898.46999991</v>
      </c>
      <c r="D17" s="25">
        <v>1391646532.3400002</v>
      </c>
      <c r="E17" s="26" t="s">
        <v>19</v>
      </c>
      <c r="F17" s="24">
        <f>+'Notas a los EEFF'!C281</f>
        <v>0</v>
      </c>
      <c r="G17" s="24">
        <f>+'Notas a los EEFF'!D281</f>
        <v>0</v>
      </c>
    </row>
    <row r="18" spans="2:7" x14ac:dyDescent="0.25">
      <c r="B18" s="33"/>
      <c r="C18" s="32"/>
      <c r="D18" s="29"/>
      <c r="E18" s="26" t="s">
        <v>20</v>
      </c>
      <c r="F18" s="24">
        <f>+'Notas a los EEFF'!C287</f>
        <v>0</v>
      </c>
      <c r="G18" s="24">
        <f>+'Notas a los EEFF'!D287</f>
        <v>0</v>
      </c>
    </row>
    <row r="19" spans="2:7" x14ac:dyDescent="0.25">
      <c r="B19" s="18" t="s">
        <v>21</v>
      </c>
      <c r="C19" s="19">
        <f>+SUM(C20:C22)</f>
        <v>928397584.08000004</v>
      </c>
      <c r="D19" s="20">
        <f>+SUM(D20:D22)</f>
        <v>417849883.10279995</v>
      </c>
      <c r="E19" s="31"/>
      <c r="F19" s="32"/>
      <c r="G19" s="32"/>
    </row>
    <row r="20" spans="2:7" x14ac:dyDescent="0.25">
      <c r="B20" s="23" t="s">
        <v>22</v>
      </c>
      <c r="C20" s="24">
        <f>+'Notas a los EEFF'!C212</f>
        <v>888534147.69000006</v>
      </c>
      <c r="D20" s="25">
        <f>+'Notas a los EEFF'!D212</f>
        <v>396056952.71279997</v>
      </c>
      <c r="E20" s="21" t="s">
        <v>23</v>
      </c>
      <c r="F20" s="22">
        <f>+SUM(F21:F24)</f>
        <v>9617919.9600000009</v>
      </c>
      <c r="G20" s="19">
        <f>+SUM(G21:G24)</f>
        <v>10351866.58</v>
      </c>
    </row>
    <row r="21" spans="2:7" x14ac:dyDescent="0.25">
      <c r="B21" s="23" t="s">
        <v>24</v>
      </c>
      <c r="C21" s="24">
        <f>+'Notas a los EEFF'!C197</f>
        <v>12004000</v>
      </c>
      <c r="D21" s="25">
        <f>+'Notas a los EEFF'!D197</f>
        <v>11678000</v>
      </c>
      <c r="E21" s="26" t="s">
        <v>25</v>
      </c>
      <c r="F21" s="24">
        <v>0</v>
      </c>
      <c r="G21" s="24">
        <v>0</v>
      </c>
    </row>
    <row r="22" spans="2:7" x14ac:dyDescent="0.25">
      <c r="B22" s="23" t="s">
        <v>26</v>
      </c>
      <c r="C22" s="24">
        <f>+'Notas a los EEFF'!C204</f>
        <v>27859436.390000001</v>
      </c>
      <c r="D22" s="25">
        <f>+'Notas a los EEFF'!D204</f>
        <v>10114930.390000001</v>
      </c>
      <c r="E22" s="26" t="s">
        <v>27</v>
      </c>
      <c r="F22" s="27">
        <v>9617919.9600000009</v>
      </c>
      <c r="G22" s="24">
        <v>10351866.58</v>
      </c>
    </row>
    <row r="23" spans="2:7" x14ac:dyDescent="0.25">
      <c r="B23" s="23"/>
      <c r="C23" s="34"/>
      <c r="D23" s="35"/>
      <c r="E23" s="26" t="s">
        <v>28</v>
      </c>
      <c r="F23" s="27">
        <v>0</v>
      </c>
      <c r="G23" s="24">
        <v>0</v>
      </c>
    </row>
    <row r="24" spans="2:7" x14ac:dyDescent="0.25">
      <c r="B24" s="18" t="s">
        <v>29</v>
      </c>
      <c r="C24" s="19">
        <f>+C25</f>
        <v>161562696.14000002</v>
      </c>
      <c r="D24" s="20">
        <f>+D25</f>
        <v>71662383.140000001</v>
      </c>
      <c r="E24" s="26"/>
      <c r="F24" s="32"/>
      <c r="G24" s="32"/>
    </row>
    <row r="25" spans="2:7" x14ac:dyDescent="0.25">
      <c r="B25" s="23" t="s">
        <v>30</v>
      </c>
      <c r="C25" s="27">
        <f>+'Notas a los EEFF'!C266</f>
        <v>161562696.14000002</v>
      </c>
      <c r="D25" s="25">
        <f>+'Notas a los EEFF'!D266</f>
        <v>71662383.140000001</v>
      </c>
      <c r="E25" s="21" t="s">
        <v>31</v>
      </c>
      <c r="F25" s="22">
        <f>+SUM(F26:F28)</f>
        <v>117584036.65000001</v>
      </c>
      <c r="G25" s="19">
        <f>+SUM(G26:G28)</f>
        <v>164612209</v>
      </c>
    </row>
    <row r="26" spans="2:7" x14ac:dyDescent="0.25">
      <c r="B26" s="18"/>
      <c r="C26" s="34"/>
      <c r="D26" s="35"/>
      <c r="E26" s="26" t="s">
        <v>32</v>
      </c>
      <c r="F26" s="27">
        <f>+'Notas a los EEFF'!C341</f>
        <v>100839390</v>
      </c>
      <c r="G26" s="24">
        <f>+'Notas a los EEFF'!D341</f>
        <v>159536470</v>
      </c>
    </row>
    <row r="27" spans="2:7" x14ac:dyDescent="0.25">
      <c r="B27" s="18"/>
      <c r="C27" s="34"/>
      <c r="D27" s="35"/>
      <c r="E27" s="26" t="s">
        <v>33</v>
      </c>
      <c r="F27" s="27">
        <f>+'Notas a los EEFF'!C355</f>
        <v>16744646.65</v>
      </c>
      <c r="G27" s="24">
        <f>+'Notas a los EEFF'!D355</f>
        <v>5075739</v>
      </c>
    </row>
    <row r="28" spans="2:7" x14ac:dyDescent="0.25">
      <c r="B28" s="18"/>
      <c r="C28" s="34"/>
      <c r="D28" s="35"/>
      <c r="E28" s="26"/>
      <c r="F28" s="24"/>
      <c r="G28" s="32"/>
    </row>
    <row r="29" spans="2:7" x14ac:dyDescent="0.25">
      <c r="B29" s="18" t="s">
        <v>34</v>
      </c>
      <c r="C29" s="19">
        <f>+C25+C19+C15+C11</f>
        <v>3164261787.98</v>
      </c>
      <c r="D29" s="20">
        <f>+D25+D19+D15+D11</f>
        <v>3016190014.0028</v>
      </c>
      <c r="E29" s="21" t="s">
        <v>35</v>
      </c>
      <c r="F29" s="22">
        <f>+F11+F16+F20+F25</f>
        <v>291019958.27960002</v>
      </c>
      <c r="G29" s="19">
        <f>+G11+G16+G20+G25</f>
        <v>221226984.56400001</v>
      </c>
    </row>
    <row r="30" spans="2:7" x14ac:dyDescent="0.25">
      <c r="B30" s="23"/>
      <c r="C30" s="36"/>
      <c r="D30" s="37"/>
      <c r="E30" s="38"/>
      <c r="F30" s="32"/>
      <c r="G30" s="32"/>
    </row>
    <row r="31" spans="2:7" x14ac:dyDescent="0.25">
      <c r="B31" s="18" t="s">
        <v>36</v>
      </c>
      <c r="C31" s="24"/>
      <c r="D31" s="29"/>
      <c r="E31" s="39" t="s">
        <v>37</v>
      </c>
      <c r="F31" s="40"/>
      <c r="G31" s="32"/>
    </row>
    <row r="32" spans="2:7" x14ac:dyDescent="0.25">
      <c r="B32" s="18" t="s">
        <v>38</v>
      </c>
      <c r="C32" s="19">
        <f>+SUM(C33:C36)</f>
        <v>1593486274.1099999</v>
      </c>
      <c r="D32" s="20">
        <f>+SUM(D33:D36)</f>
        <v>1582667003.26</v>
      </c>
      <c r="E32" s="21" t="s">
        <v>17</v>
      </c>
      <c r="F32" s="19">
        <f>+F33</f>
        <v>0</v>
      </c>
      <c r="G32" s="19">
        <f>+G33</f>
        <v>0</v>
      </c>
    </row>
    <row r="33" spans="2:7" x14ac:dyDescent="0.25">
      <c r="B33" s="41" t="s">
        <v>39</v>
      </c>
      <c r="C33" s="42">
        <v>29265509.100000001</v>
      </c>
      <c r="D33" s="43">
        <v>20005550.390000001</v>
      </c>
      <c r="E33" s="26" t="s">
        <v>19</v>
      </c>
      <c r="F33" s="24">
        <f>+'Notas a los EEFF'!C297</f>
        <v>0</v>
      </c>
      <c r="G33" s="24">
        <v>0</v>
      </c>
    </row>
    <row r="34" spans="2:7" x14ac:dyDescent="0.25">
      <c r="B34" s="41" t="s">
        <v>40</v>
      </c>
      <c r="C34" s="42">
        <v>4220765.01</v>
      </c>
      <c r="D34" s="43">
        <v>2661452.87</v>
      </c>
      <c r="E34" s="26"/>
      <c r="F34" s="24"/>
      <c r="G34" s="24"/>
    </row>
    <row r="35" spans="2:7" x14ac:dyDescent="0.25">
      <c r="B35" s="23" t="s">
        <v>41</v>
      </c>
      <c r="C35" s="24">
        <f>+'Notas a los EEFF'!E113</f>
        <v>1560000000</v>
      </c>
      <c r="D35" s="25">
        <v>1560000000</v>
      </c>
      <c r="E35" s="26" t="s">
        <v>42</v>
      </c>
      <c r="F35" s="44">
        <f>+'Notas a los EEFF'!C319</f>
        <v>0</v>
      </c>
      <c r="G35" s="44">
        <f>+'Notas a los EEFF'!D319</f>
        <v>0</v>
      </c>
    </row>
    <row r="36" spans="2:7" ht="18.75" customHeight="1" x14ac:dyDescent="0.25">
      <c r="B36" s="23" t="s">
        <v>43</v>
      </c>
      <c r="C36" s="24">
        <v>0</v>
      </c>
      <c r="D36" s="25">
        <v>0</v>
      </c>
      <c r="E36" s="26"/>
      <c r="F36" s="31"/>
      <c r="G36" s="31"/>
    </row>
    <row r="37" spans="2:7" x14ac:dyDescent="0.25">
      <c r="B37" s="45"/>
      <c r="C37" s="34"/>
      <c r="D37" s="35"/>
      <c r="E37" s="21" t="s">
        <v>44</v>
      </c>
      <c r="F37" s="46">
        <f>+F32+F35</f>
        <v>0</v>
      </c>
      <c r="G37" s="46">
        <f>+G32+G35</f>
        <v>0</v>
      </c>
    </row>
    <row r="38" spans="2:7" x14ac:dyDescent="0.25">
      <c r="B38" s="18" t="s">
        <v>45</v>
      </c>
      <c r="C38" s="34"/>
      <c r="D38" s="35"/>
      <c r="E38" s="21"/>
      <c r="F38" s="24"/>
      <c r="G38" s="24"/>
    </row>
    <row r="39" spans="2:7" x14ac:dyDescent="0.25">
      <c r="B39" s="23"/>
      <c r="C39" s="34"/>
      <c r="D39" s="35"/>
      <c r="E39" s="21"/>
      <c r="F39" s="32"/>
      <c r="G39" s="32"/>
    </row>
    <row r="40" spans="2:7" x14ac:dyDescent="0.25">
      <c r="B40" s="18" t="s">
        <v>46</v>
      </c>
      <c r="C40" s="24">
        <f>+'Notas a los EEFF'!G225</f>
        <v>302750647.82999998</v>
      </c>
      <c r="D40" s="25">
        <f>+'Notas a los EEFF'!G226</f>
        <v>297911557.37</v>
      </c>
      <c r="E40" s="21" t="s">
        <v>47</v>
      </c>
      <c r="F40" s="22">
        <f>+F29+F37</f>
        <v>291019958.27960002</v>
      </c>
      <c r="G40" s="19">
        <f>+G29+G37</f>
        <v>221226984.56400001</v>
      </c>
    </row>
    <row r="41" spans="2:7" x14ac:dyDescent="0.25">
      <c r="B41" s="23" t="s">
        <v>48</v>
      </c>
      <c r="C41" s="24">
        <f>-'Notas a los EEFF'!L225</f>
        <v>-257022610.18152601</v>
      </c>
      <c r="D41" s="25">
        <v>-257022610.18152642</v>
      </c>
      <c r="E41" s="21"/>
      <c r="F41" s="47"/>
      <c r="G41" s="47"/>
    </row>
    <row r="42" spans="2:7" x14ac:dyDescent="0.25">
      <c r="B42" s="23"/>
      <c r="C42" s="34"/>
      <c r="D42" s="35"/>
      <c r="E42" s="21" t="s">
        <v>49</v>
      </c>
      <c r="F42" s="19"/>
      <c r="G42" s="19"/>
    </row>
    <row r="43" spans="2:7" x14ac:dyDescent="0.25">
      <c r="B43" s="23"/>
      <c r="C43" s="34"/>
      <c r="D43" s="35"/>
      <c r="E43" s="26" t="s">
        <v>50</v>
      </c>
      <c r="F43" s="24">
        <v>4534400000</v>
      </c>
      <c r="G43" s="24">
        <v>4534400000</v>
      </c>
    </row>
    <row r="44" spans="2:7" x14ac:dyDescent="0.25">
      <c r="B44" s="48" t="s">
        <v>51</v>
      </c>
      <c r="C44" s="19">
        <f>+'Notas a los EEFF'!F246</f>
        <v>113699411.2</v>
      </c>
      <c r="D44" s="20">
        <f>+'Notas a los EEFF'!F247</f>
        <v>113699411.2</v>
      </c>
      <c r="E44" s="26" t="s">
        <v>52</v>
      </c>
      <c r="F44" s="24">
        <v>10126094</v>
      </c>
      <c r="G44" s="24">
        <v>10126094</v>
      </c>
    </row>
    <row r="45" spans="2:7" x14ac:dyDescent="0.25">
      <c r="B45" s="48"/>
      <c r="C45" s="24"/>
      <c r="D45" s="29"/>
      <c r="E45" s="26" t="s">
        <v>53</v>
      </c>
      <c r="F45" s="24">
        <v>14010438</v>
      </c>
      <c r="G45" s="24">
        <v>14010438</v>
      </c>
    </row>
    <row r="46" spans="2:7" x14ac:dyDescent="0.25">
      <c r="B46" s="48" t="s">
        <v>54</v>
      </c>
      <c r="C46" s="19">
        <f>+C47</f>
        <v>295787380.18000001</v>
      </c>
      <c r="D46" s="20">
        <f>+D47</f>
        <v>366071388.79000002</v>
      </c>
      <c r="E46" s="26" t="s">
        <v>55</v>
      </c>
      <c r="F46" s="24">
        <v>1360000000</v>
      </c>
      <c r="G46" s="24">
        <v>1360000000</v>
      </c>
    </row>
    <row r="47" spans="2:7" x14ac:dyDescent="0.25">
      <c r="B47" s="49" t="s">
        <v>56</v>
      </c>
      <c r="C47" s="24">
        <f>+'Notas a los EEFF'!C273</f>
        <v>295787380.18000001</v>
      </c>
      <c r="D47" s="25">
        <f>+'Notas a los EEFF'!D273</f>
        <v>366071388.79000002</v>
      </c>
      <c r="E47" s="21" t="s">
        <v>57</v>
      </c>
      <c r="F47" s="19">
        <f>+F48+F49+F50</f>
        <v>240331466</v>
      </c>
      <c r="G47" s="19">
        <f>+G48+G49+G50</f>
        <v>221150226</v>
      </c>
    </row>
    <row r="48" spans="2:7" x14ac:dyDescent="0.25">
      <c r="B48" s="50"/>
      <c r="C48" s="24"/>
      <c r="D48" s="29"/>
      <c r="E48" s="26" t="s">
        <v>58</v>
      </c>
      <c r="F48" s="24">
        <v>154992553</v>
      </c>
      <c r="G48" s="24">
        <v>154992553</v>
      </c>
    </row>
    <row r="49" spans="2:8" x14ac:dyDescent="0.25">
      <c r="B49" s="23"/>
      <c r="C49" s="24"/>
      <c r="D49" s="25"/>
      <c r="E49" s="26" t="s">
        <v>59</v>
      </c>
      <c r="F49" s="24">
        <v>74497111</v>
      </c>
      <c r="G49" s="24">
        <v>55315871</v>
      </c>
    </row>
    <row r="50" spans="2:8" x14ac:dyDescent="0.25">
      <c r="B50" s="23"/>
      <c r="C50" s="24"/>
      <c r="D50" s="25"/>
      <c r="E50" s="26" t="s">
        <v>60</v>
      </c>
      <c r="F50" s="24">
        <v>10841802</v>
      </c>
      <c r="G50" s="24">
        <v>10841802</v>
      </c>
    </row>
    <row r="51" spans="2:8" x14ac:dyDescent="0.25">
      <c r="B51" s="23"/>
      <c r="C51" s="24"/>
      <c r="D51" s="25"/>
      <c r="E51" s="26"/>
      <c r="F51" s="19">
        <f>+F52+F53</f>
        <v>-1236925065.1599948</v>
      </c>
      <c r="G51" s="19">
        <f>+G52+G53</f>
        <v>-1241396978.1199961</v>
      </c>
    </row>
    <row r="52" spans="2:8" x14ac:dyDescent="0.25">
      <c r="B52" s="23"/>
      <c r="C52" s="24"/>
      <c r="D52" s="25"/>
      <c r="E52" s="26" t="s">
        <v>61</v>
      </c>
      <c r="F52" s="24">
        <f>-1627508588.12+386111610.000004</f>
        <v>-1241396978.1199958</v>
      </c>
      <c r="G52" s="24">
        <v>-1627508588.1199999</v>
      </c>
    </row>
    <row r="53" spans="2:8" x14ac:dyDescent="0.25">
      <c r="B53" s="23"/>
      <c r="C53" s="24"/>
      <c r="D53" s="25"/>
      <c r="E53" s="26" t="s">
        <v>62</v>
      </c>
      <c r="F53" s="24">
        <v>4471912.9600009918</v>
      </c>
      <c r="G53" s="24">
        <v>386111610.00000381</v>
      </c>
    </row>
    <row r="54" spans="2:8" x14ac:dyDescent="0.25">
      <c r="B54" s="23"/>
      <c r="C54" s="24"/>
      <c r="D54" s="29"/>
      <c r="E54" s="31"/>
      <c r="F54" s="31"/>
      <c r="G54" s="31"/>
    </row>
    <row r="55" spans="2:8" ht="15.75" customHeight="1" x14ac:dyDescent="0.25">
      <c r="B55" s="18" t="s">
        <v>63</v>
      </c>
      <c r="C55" s="51">
        <f>+C32+C40+C41+C44+C46</f>
        <v>2048701103.138474</v>
      </c>
      <c r="D55" s="20">
        <f>+D32+D40+D41+D44+D46</f>
        <v>2103326750.4384737</v>
      </c>
      <c r="E55" s="21" t="s">
        <v>64</v>
      </c>
      <c r="F55" s="52">
        <f>+F51+F47+F46+F45+F44+F43</f>
        <v>4921942932.8400049</v>
      </c>
      <c r="G55" s="53">
        <f>+G51+G47+G46+G45+G44+G43</f>
        <v>4898289779.8800039</v>
      </c>
    </row>
    <row r="56" spans="2:8" ht="15" customHeight="1" x14ac:dyDescent="0.25">
      <c r="B56" s="448" t="s">
        <v>65</v>
      </c>
      <c r="C56" s="454">
        <f>+C29+C55</f>
        <v>5212962891.118474</v>
      </c>
      <c r="D56" s="455">
        <f>+D29+D55</f>
        <v>5119516764.4412737</v>
      </c>
      <c r="E56" s="457" t="s">
        <v>66</v>
      </c>
      <c r="F56" s="458">
        <f>+F40+F55</f>
        <v>5212962891.1196051</v>
      </c>
      <c r="G56" s="447">
        <f>+G40+G55</f>
        <v>5119516764.4440041</v>
      </c>
      <c r="H56" s="54"/>
    </row>
    <row r="57" spans="2:8" ht="15.75" customHeight="1" x14ac:dyDescent="0.25">
      <c r="B57" s="448"/>
      <c r="C57" s="448"/>
      <c r="D57" s="456"/>
      <c r="E57" s="448"/>
      <c r="F57" s="448"/>
      <c r="G57" s="448"/>
      <c r="H57" s="54"/>
    </row>
    <row r="58" spans="2:8" x14ac:dyDescent="0.25">
      <c r="D58" s="401"/>
      <c r="E58" s="11"/>
      <c r="F58" s="11"/>
    </row>
    <row r="59" spans="2:8" ht="15.75" customHeight="1" x14ac:dyDescent="0.25"/>
    <row r="60" spans="2:8" ht="15" customHeight="1" x14ac:dyDescent="0.25">
      <c r="B60" s="449"/>
      <c r="C60" s="450" t="s">
        <v>5</v>
      </c>
      <c r="D60" s="451" t="s">
        <v>67</v>
      </c>
      <c r="E60" s="452"/>
      <c r="F60" s="451" t="s">
        <v>5</v>
      </c>
      <c r="G60" s="453" t="s">
        <v>67</v>
      </c>
    </row>
    <row r="61" spans="2:8" x14ac:dyDescent="0.25">
      <c r="B61" s="449"/>
      <c r="C61" s="450"/>
      <c r="D61" s="450"/>
      <c r="E61" s="450"/>
      <c r="F61" s="450"/>
      <c r="G61" s="453"/>
    </row>
    <row r="62" spans="2:8" x14ac:dyDescent="0.25">
      <c r="B62" s="55" t="s">
        <v>68</v>
      </c>
      <c r="C62" s="56">
        <f>SUM(C63:C67)</f>
        <v>7654160419.2091999</v>
      </c>
      <c r="D62" s="56">
        <f>SUM(D63:D67)</f>
        <v>7262596667.4449997</v>
      </c>
      <c r="E62" s="57" t="s">
        <v>69</v>
      </c>
      <c r="F62" s="56">
        <f>SUM(F64:F67)</f>
        <v>7654160419.2091999</v>
      </c>
      <c r="G62" s="56">
        <f>SUM(G64:G67)</f>
        <v>7262596667.4449997</v>
      </c>
    </row>
    <row r="63" spans="2:8" x14ac:dyDescent="0.25">
      <c r="B63" s="58" t="s">
        <v>70</v>
      </c>
      <c r="C63" s="59">
        <v>7008856044.7749996</v>
      </c>
      <c r="D63" s="59">
        <v>7008856044.7749996</v>
      </c>
      <c r="E63" s="57"/>
      <c r="F63" s="56"/>
      <c r="G63" s="56"/>
    </row>
    <row r="64" spans="2:8" x14ac:dyDescent="0.25">
      <c r="B64" s="60" t="s">
        <v>71</v>
      </c>
      <c r="C64" s="61">
        <v>84868333</v>
      </c>
      <c r="D64" s="61">
        <v>169850583</v>
      </c>
      <c r="E64" s="62" t="s">
        <v>72</v>
      </c>
      <c r="F64" s="56">
        <f>SUM(C64:C67)</f>
        <v>645304374.43419993</v>
      </c>
      <c r="G64" s="56">
        <f>SUM(D64:D67)</f>
        <v>253740622.66999999</v>
      </c>
    </row>
    <row r="65" spans="2:7" x14ac:dyDescent="0.25">
      <c r="B65" s="60" t="s">
        <v>73</v>
      </c>
      <c r="C65" s="61">
        <v>526821030</v>
      </c>
      <c r="D65" s="61">
        <v>32864021</v>
      </c>
      <c r="E65" s="62"/>
      <c r="F65" s="56"/>
      <c r="G65" s="56"/>
    </row>
    <row r="66" spans="2:7" x14ac:dyDescent="0.25">
      <c r="B66" s="60" t="s">
        <v>74</v>
      </c>
      <c r="C66" s="61">
        <v>7476432.6700000009</v>
      </c>
      <c r="D66" s="61">
        <v>43158578.248799965</v>
      </c>
      <c r="E66" s="62"/>
      <c r="F66" s="56"/>
      <c r="G66" s="56"/>
    </row>
    <row r="67" spans="2:7" ht="15.75" customHeight="1" x14ac:dyDescent="0.25">
      <c r="B67" s="60" t="s">
        <v>75</v>
      </c>
      <c r="C67" s="63">
        <v>26138578.764199998</v>
      </c>
      <c r="D67" s="63">
        <v>7867440.4212000007</v>
      </c>
      <c r="E67" s="62" t="s">
        <v>76</v>
      </c>
      <c r="F67" s="56">
        <f>+C63</f>
        <v>7008856044.7749996</v>
      </c>
      <c r="G67" s="56">
        <f>+D63</f>
        <v>7008856044.7749996</v>
      </c>
    </row>
    <row r="70" spans="2:7" x14ac:dyDescent="0.25">
      <c r="B70" s="446" t="s">
        <v>77</v>
      </c>
      <c r="C70" s="446"/>
      <c r="D70" s="446"/>
      <c r="E70" s="446"/>
      <c r="F70" s="446"/>
      <c r="G70" s="446"/>
    </row>
  </sheetData>
  <mergeCells count="20">
    <mergeCell ref="B70:G70"/>
    <mergeCell ref="G56:G57"/>
    <mergeCell ref="B60:B61"/>
    <mergeCell ref="C60:C61"/>
    <mergeCell ref="D60:D61"/>
    <mergeCell ref="E60:E61"/>
    <mergeCell ref="F60:F61"/>
    <mergeCell ref="G60:G61"/>
    <mergeCell ref="B56:B57"/>
    <mergeCell ref="C56:C57"/>
    <mergeCell ref="D56:D57"/>
    <mergeCell ref="E56:E57"/>
    <mergeCell ref="F56:F57"/>
    <mergeCell ref="B4:G6"/>
    <mergeCell ref="B8:B9"/>
    <mergeCell ref="C8:C9"/>
    <mergeCell ref="D8:D9"/>
    <mergeCell ref="E8:E9"/>
    <mergeCell ref="F8:F9"/>
    <mergeCell ref="G8:G9"/>
  </mergeCells>
  <pageMargins left="0.70833333333333304" right="0.70833333333333304" top="0.74791666666666701" bottom="0.74791666666666701" header="0.511811023622047" footer="0.511811023622047"/>
  <pageSetup paperSize="9" scale="60"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D966"/>
  </sheetPr>
  <dimension ref="B4:G57"/>
  <sheetViews>
    <sheetView showGridLines="0" topLeftCell="A42" zoomScale="102" zoomScaleNormal="102" workbookViewId="0">
      <selection activeCell="B6" sqref="B6"/>
    </sheetView>
  </sheetViews>
  <sheetFormatPr baseColWidth="10" defaultColWidth="10.7109375" defaultRowHeight="15" x14ac:dyDescent="0.25"/>
  <cols>
    <col min="2" max="2" width="60.5703125" customWidth="1"/>
    <col min="3" max="3" width="16.7109375" customWidth="1"/>
    <col min="4" max="4" width="23.42578125" customWidth="1"/>
    <col min="5" max="5" width="11.85546875" bestFit="1" customWidth="1"/>
    <col min="6" max="6" width="12.7109375" customWidth="1"/>
    <col min="8" max="8" width="17.28515625" customWidth="1"/>
  </cols>
  <sheetData>
    <row r="4" spans="2:4" ht="15" customHeight="1" x14ac:dyDescent="0.25">
      <c r="B4" s="459" t="s">
        <v>774</v>
      </c>
      <c r="C4" s="459"/>
      <c r="D4" s="459"/>
    </row>
    <row r="5" spans="2:4" x14ac:dyDescent="0.25">
      <c r="B5" s="459"/>
      <c r="C5" s="459"/>
      <c r="D5" s="459"/>
    </row>
    <row r="7" spans="2:4" ht="22.5" customHeight="1" x14ac:dyDescent="0.25">
      <c r="B7" s="64"/>
      <c r="C7" s="65" t="s">
        <v>2</v>
      </c>
      <c r="D7" s="10" t="s">
        <v>78</v>
      </c>
    </row>
    <row r="8" spans="2:4" x14ac:dyDescent="0.25">
      <c r="B8" s="66" t="s">
        <v>79</v>
      </c>
      <c r="C8" s="67">
        <f>+SUM(C9:C23)</f>
        <v>5031915442.0100002</v>
      </c>
      <c r="D8" s="67">
        <f>+SUM(D9:D23)</f>
        <v>4725828640.2099991</v>
      </c>
    </row>
    <row r="9" spans="2:4" x14ac:dyDescent="0.25">
      <c r="B9" s="68" t="s">
        <v>80</v>
      </c>
      <c r="C9" s="69"/>
      <c r="D9" s="69"/>
    </row>
    <row r="10" spans="2:4" x14ac:dyDescent="0.25">
      <c r="B10" s="70" t="s">
        <v>81</v>
      </c>
      <c r="C10" s="71">
        <v>0</v>
      </c>
      <c r="D10" s="71">
        <v>0</v>
      </c>
    </row>
    <row r="11" spans="2:4" x14ac:dyDescent="0.25">
      <c r="B11" s="70" t="s">
        <v>82</v>
      </c>
      <c r="C11" s="71">
        <v>0</v>
      </c>
      <c r="D11" s="71">
        <v>0</v>
      </c>
    </row>
    <row r="12" spans="2:4" x14ac:dyDescent="0.25">
      <c r="B12" s="68" t="s">
        <v>83</v>
      </c>
      <c r="C12" s="69"/>
      <c r="D12" s="69"/>
    </row>
    <row r="13" spans="2:4" x14ac:dyDescent="0.25">
      <c r="B13" s="70" t="s">
        <v>84</v>
      </c>
      <c r="C13" s="72">
        <v>5151067.2699999996</v>
      </c>
      <c r="D13" s="71">
        <v>485450.9</v>
      </c>
    </row>
    <row r="14" spans="2:4" x14ac:dyDescent="0.25">
      <c r="B14" s="70" t="s">
        <v>85</v>
      </c>
      <c r="C14" s="72">
        <v>42719797.460000001</v>
      </c>
      <c r="D14" s="71">
        <v>247243929.40000001</v>
      </c>
    </row>
    <row r="15" spans="2:4" x14ac:dyDescent="0.25">
      <c r="B15" s="70" t="s">
        <v>86</v>
      </c>
      <c r="C15" s="72"/>
      <c r="D15" s="71"/>
    </row>
    <row r="16" spans="2:4" x14ac:dyDescent="0.25">
      <c r="B16" s="70" t="s">
        <v>87</v>
      </c>
      <c r="C16" s="72"/>
      <c r="D16" s="71"/>
    </row>
    <row r="17" spans="2:4" x14ac:dyDescent="0.25">
      <c r="B17" s="73" t="s">
        <v>88</v>
      </c>
      <c r="C17" s="72">
        <v>750000</v>
      </c>
      <c r="D17" s="71">
        <v>1761016.36</v>
      </c>
    </row>
    <row r="18" spans="2:4" x14ac:dyDescent="0.25">
      <c r="B18" s="73" t="s">
        <v>89</v>
      </c>
      <c r="C18" s="72"/>
      <c r="D18" s="71"/>
    </row>
    <row r="19" spans="2:4" x14ac:dyDescent="0.25">
      <c r="B19" s="73" t="s">
        <v>90</v>
      </c>
      <c r="C19" s="72">
        <f>+'Notas a los EEFF'!C430</f>
        <v>3137471750.79</v>
      </c>
      <c r="D19" s="72">
        <f>+'Notas a los EEFF'!D430</f>
        <v>4151644639.5699997</v>
      </c>
    </row>
    <row r="20" spans="2:4" x14ac:dyDescent="0.25">
      <c r="B20" s="73" t="s">
        <v>91</v>
      </c>
      <c r="C20" s="72">
        <f>+'Notas a los EEFF'!C419</f>
        <v>0</v>
      </c>
      <c r="D20" s="72">
        <f>+'Notas a los EEFF'!D419</f>
        <v>157245816</v>
      </c>
    </row>
    <row r="21" spans="2:4" x14ac:dyDescent="0.25">
      <c r="B21" s="73" t="s">
        <v>92</v>
      </c>
      <c r="C21" s="72"/>
      <c r="D21" s="71"/>
    </row>
    <row r="22" spans="2:4" x14ac:dyDescent="0.25">
      <c r="B22" s="73" t="s">
        <v>93</v>
      </c>
      <c r="C22" s="72">
        <f>+'Notas a los EEFF'!C436</f>
        <v>1824748716.3400002</v>
      </c>
      <c r="D22" s="72">
        <f>+'Notas a los EEFF'!D436</f>
        <v>142127105.25</v>
      </c>
    </row>
    <row r="23" spans="2:4" x14ac:dyDescent="0.25">
      <c r="B23" s="73" t="s">
        <v>94</v>
      </c>
      <c r="C23" s="71">
        <f>+'Notas a los EEFF'!C441</f>
        <v>21074110.150000002</v>
      </c>
      <c r="D23" s="71">
        <f>+'Notas a los EEFF'!D441</f>
        <v>25320682.73</v>
      </c>
    </row>
    <row r="24" spans="2:4" x14ac:dyDescent="0.25">
      <c r="B24" s="66" t="s">
        <v>95</v>
      </c>
      <c r="C24" s="67">
        <f>SUM(C25:C27)</f>
        <v>-4565996774.0199995</v>
      </c>
      <c r="D24" s="67">
        <f>SUM(D25:D27)</f>
        <v>-4373760225.2399998</v>
      </c>
    </row>
    <row r="25" spans="2:4" x14ac:dyDescent="0.25">
      <c r="B25" s="73" t="s">
        <v>96</v>
      </c>
      <c r="C25" s="74">
        <v>0</v>
      </c>
      <c r="D25" s="74">
        <v>0</v>
      </c>
    </row>
    <row r="26" spans="2:4" x14ac:dyDescent="0.25">
      <c r="B26" s="73" t="s">
        <v>97</v>
      </c>
      <c r="C26" s="69">
        <f>-'Notas a los EEFF'!C460</f>
        <v>-21394170.34</v>
      </c>
      <c r="D26" s="69">
        <f>-'Notas a los EEFF'!D460</f>
        <v>-17057624.259999998</v>
      </c>
    </row>
    <row r="27" spans="2:4" x14ac:dyDescent="0.25">
      <c r="B27" s="73" t="s">
        <v>98</v>
      </c>
      <c r="C27" s="69">
        <f>-'Notas a los EEFF'!C475</f>
        <v>-4544602603.6799994</v>
      </c>
      <c r="D27" s="69">
        <f>-'Notas a los EEFF'!D475</f>
        <v>-4356702600.9799995</v>
      </c>
    </row>
    <row r="28" spans="2:4" x14ac:dyDescent="0.25">
      <c r="B28" s="66" t="s">
        <v>99</v>
      </c>
      <c r="C28" s="67">
        <f>+C8+C24</f>
        <v>465918667.99000072</v>
      </c>
      <c r="D28" s="67">
        <f>+D8+D24</f>
        <v>352068414.96999931</v>
      </c>
    </row>
    <row r="29" spans="2:4" x14ac:dyDescent="0.25">
      <c r="B29" s="68" t="s">
        <v>100</v>
      </c>
      <c r="C29" s="67">
        <f>SUM(C30:C32)</f>
        <v>-165955599.50999999</v>
      </c>
      <c r="D29" s="67">
        <f>SUM(D30:D32)</f>
        <v>-41073326.940000005</v>
      </c>
    </row>
    <row r="30" spans="2:4" x14ac:dyDescent="0.25">
      <c r="B30" s="73" t="s">
        <v>101</v>
      </c>
      <c r="C30" s="72">
        <v>-1251110.8999999999</v>
      </c>
      <c r="D30" s="72">
        <v>-13782721.810000001</v>
      </c>
    </row>
    <row r="31" spans="2:4" x14ac:dyDescent="0.25">
      <c r="B31" s="73" t="s">
        <v>102</v>
      </c>
      <c r="C31" s="69">
        <v>0</v>
      </c>
      <c r="D31" s="69">
        <v>0</v>
      </c>
    </row>
    <row r="32" spans="2:4" x14ac:dyDescent="0.25">
      <c r="B32" s="73" t="s">
        <v>103</v>
      </c>
      <c r="C32" s="69">
        <f>-'Notas a los EEFF'!C492</f>
        <v>-164704488.60999998</v>
      </c>
      <c r="D32" s="69">
        <f>-'Notas a los EEFF'!D492</f>
        <v>-27290605.130000003</v>
      </c>
    </row>
    <row r="33" spans="2:5" x14ac:dyDescent="0.25">
      <c r="B33" s="68" t="s">
        <v>104</v>
      </c>
      <c r="C33" s="67">
        <f>SUM(C34:C39)</f>
        <v>-335583305.93000007</v>
      </c>
      <c r="D33" s="67">
        <f>SUM(D34:D39)</f>
        <v>-275360759.32999998</v>
      </c>
    </row>
    <row r="34" spans="2:5" x14ac:dyDescent="0.25">
      <c r="B34" s="73" t="s">
        <v>105</v>
      </c>
      <c r="C34" s="75">
        <v>0</v>
      </c>
      <c r="D34" s="403">
        <v>-399977.5</v>
      </c>
    </row>
    <row r="35" spans="2:5" x14ac:dyDescent="0.25">
      <c r="B35" s="73" t="s">
        <v>106</v>
      </c>
      <c r="C35" s="72">
        <v>-12194165.109999999</v>
      </c>
      <c r="D35" s="72">
        <v>-10920317.18</v>
      </c>
    </row>
    <row r="36" spans="2:5" x14ac:dyDescent="0.25">
      <c r="B36" s="73" t="s">
        <v>107</v>
      </c>
      <c r="C36" s="69">
        <v>0</v>
      </c>
      <c r="D36" s="69">
        <v>0</v>
      </c>
    </row>
    <row r="37" spans="2:5" x14ac:dyDescent="0.25">
      <c r="B37" s="73" t="s">
        <v>108</v>
      </c>
      <c r="C37" s="72">
        <v>-317000</v>
      </c>
      <c r="D37" s="72">
        <f>---892909.08</f>
        <v>-892909.08</v>
      </c>
    </row>
    <row r="38" spans="2:5" x14ac:dyDescent="0.25">
      <c r="B38" s="73" t="s">
        <v>109</v>
      </c>
      <c r="C38" s="69">
        <v>0</v>
      </c>
      <c r="D38" s="69">
        <v>0</v>
      </c>
    </row>
    <row r="39" spans="2:5" x14ac:dyDescent="0.25">
      <c r="B39" s="73" t="s">
        <v>110</v>
      </c>
      <c r="C39" s="69">
        <f>-'Notas a los EEFF'!C519</f>
        <v>-323072140.82000005</v>
      </c>
      <c r="D39" s="69">
        <f>-'Notas a los EEFF'!D519</f>
        <v>-263147555.56999999</v>
      </c>
      <c r="E39" s="77"/>
    </row>
    <row r="40" spans="2:5" x14ac:dyDescent="0.25">
      <c r="B40" s="66" t="s">
        <v>111</v>
      </c>
      <c r="C40" s="67">
        <f>+C28+C29+C33</f>
        <v>-35620237.449999332</v>
      </c>
      <c r="D40" s="67">
        <f>+D28+D29+D33</f>
        <v>35634328.699999332</v>
      </c>
    </row>
    <row r="41" spans="2:5" x14ac:dyDescent="0.25">
      <c r="B41" s="68" t="s">
        <v>112</v>
      </c>
      <c r="C41" s="67"/>
      <c r="D41" s="67"/>
    </row>
    <row r="42" spans="2:5" x14ac:dyDescent="0.25">
      <c r="B42" s="73" t="s">
        <v>113</v>
      </c>
      <c r="C42" s="69">
        <f>+'Notas a los EEFF'!C538</f>
        <v>4241801.5999999996</v>
      </c>
      <c r="D42" s="69">
        <f>+'Notas a los EEFF'!D538</f>
        <v>11128004.719999999</v>
      </c>
    </row>
    <row r="43" spans="2:5" x14ac:dyDescent="0.25">
      <c r="B43" s="73" t="s">
        <v>114</v>
      </c>
      <c r="C43" s="69">
        <v>0</v>
      </c>
      <c r="D43" s="69">
        <v>0</v>
      </c>
    </row>
    <row r="44" spans="2:5" x14ac:dyDescent="0.25">
      <c r="B44" s="68" t="s">
        <v>115</v>
      </c>
      <c r="C44" s="67"/>
      <c r="D44" s="67"/>
    </row>
    <row r="45" spans="2:5" x14ac:dyDescent="0.25">
      <c r="B45" s="68" t="s">
        <v>116</v>
      </c>
      <c r="C45" s="67"/>
      <c r="D45" s="67"/>
    </row>
    <row r="46" spans="2:5" x14ac:dyDescent="0.25">
      <c r="B46" s="73" t="s">
        <v>117</v>
      </c>
      <c r="C46" s="69">
        <f>+'Notas a los EEFF'!C558</f>
        <v>19834207.330000002</v>
      </c>
      <c r="D46" s="69">
        <f>+'Notas a los EEFF'!D558</f>
        <v>15601921.42</v>
      </c>
    </row>
    <row r="47" spans="2:5" x14ac:dyDescent="0.25">
      <c r="B47" s="73" t="s">
        <v>118</v>
      </c>
      <c r="C47" s="69">
        <f>+'Notas a los EEFF'!D72</f>
        <v>32979823.309999999</v>
      </c>
      <c r="D47" s="69">
        <v>28633654.289999999</v>
      </c>
    </row>
    <row r="48" spans="2:5" x14ac:dyDescent="0.25">
      <c r="B48" s="68" t="s">
        <v>119</v>
      </c>
      <c r="C48" s="67"/>
      <c r="D48" s="67"/>
    </row>
    <row r="49" spans="2:7" x14ac:dyDescent="0.25">
      <c r="B49" s="73" t="s">
        <v>120</v>
      </c>
      <c r="C49" s="69">
        <f>'Notas a los EEFF'!C565</f>
        <v>0</v>
      </c>
      <c r="D49" s="69">
        <f>-'Notas a los EEFF'!D565</f>
        <v>0</v>
      </c>
    </row>
    <row r="50" spans="2:7" x14ac:dyDescent="0.25">
      <c r="B50" s="73" t="s">
        <v>118</v>
      </c>
      <c r="C50" s="69">
        <f>+'Notas a los EEFF'!D73</f>
        <v>-16963681.829999998</v>
      </c>
      <c r="D50" s="69">
        <v>-9422958.6500000004</v>
      </c>
    </row>
    <row r="51" spans="2:7" x14ac:dyDescent="0.25">
      <c r="B51" s="66" t="s">
        <v>121</v>
      </c>
      <c r="C51" s="67">
        <f>SUM(C40:C50)</f>
        <v>4471912.9600006714</v>
      </c>
      <c r="D51" s="67">
        <f>SUM(D40:D50)</f>
        <v>81574950.479999334</v>
      </c>
    </row>
    <row r="52" spans="2:7" x14ac:dyDescent="0.25">
      <c r="B52" s="66" t="s">
        <v>122</v>
      </c>
      <c r="C52" s="67">
        <v>0</v>
      </c>
      <c r="D52" s="67">
        <v>0</v>
      </c>
    </row>
    <row r="53" spans="2:7" x14ac:dyDescent="0.25">
      <c r="B53" s="66" t="s">
        <v>123</v>
      </c>
      <c r="C53" s="67">
        <f>+'Notas a los EEFF'!C546</f>
        <v>0</v>
      </c>
      <c r="D53" s="67">
        <f>+'Notas a los EEFF'!D546</f>
        <v>0</v>
      </c>
    </row>
    <row r="54" spans="2:7" x14ac:dyDescent="0.25">
      <c r="B54" s="66" t="s">
        <v>124</v>
      </c>
      <c r="C54" s="76">
        <f>+C51-C52-C53</f>
        <v>4471912.9600006714</v>
      </c>
      <c r="D54" s="67">
        <f>+D51-D52-D53</f>
        <v>81574950.479999334</v>
      </c>
    </row>
    <row r="55" spans="2:7" x14ac:dyDescent="0.25">
      <c r="C55" s="77"/>
      <c r="D55" s="77"/>
    </row>
    <row r="56" spans="2:7" x14ac:dyDescent="0.25">
      <c r="B56" s="78"/>
      <c r="C56" s="54"/>
      <c r="D56" s="78"/>
      <c r="F56" s="460"/>
      <c r="G56" s="460"/>
    </row>
    <row r="57" spans="2:7" x14ac:dyDescent="0.25">
      <c r="B57" s="446" t="s">
        <v>77</v>
      </c>
      <c r="C57" s="446"/>
      <c r="D57" s="446"/>
      <c r="E57" s="446"/>
      <c r="F57" s="446"/>
    </row>
  </sheetData>
  <mergeCells count="3">
    <mergeCell ref="B4:D5"/>
    <mergeCell ref="F56:G56"/>
    <mergeCell ref="B57:F57"/>
  </mergeCells>
  <pageMargins left="0.70833333333333304" right="0.70833333333333304" top="1.3388888888888899" bottom="0.74791666666666701" header="0.511811023622047" footer="0.511811023622047"/>
  <pageSetup paperSize="9" scale="65"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D966"/>
  </sheetPr>
  <dimension ref="B4:O24"/>
  <sheetViews>
    <sheetView showGridLines="0" zoomScale="102" zoomScaleNormal="102" workbookViewId="0">
      <selection activeCell="B6" sqref="B6:N6"/>
    </sheetView>
  </sheetViews>
  <sheetFormatPr baseColWidth="10" defaultColWidth="10.7109375" defaultRowHeight="15" x14ac:dyDescent="0.25"/>
  <cols>
    <col min="1" max="1" width="4.7109375" customWidth="1"/>
    <col min="2" max="2" width="41.5703125" customWidth="1"/>
    <col min="3" max="3" width="16.42578125" customWidth="1"/>
    <col min="4" max="4" width="15" customWidth="1"/>
    <col min="5" max="5" width="12.42578125" customWidth="1"/>
    <col min="6" max="6" width="15" customWidth="1"/>
    <col min="7" max="7" width="16.7109375" customWidth="1"/>
    <col min="8" max="10" width="14.28515625" customWidth="1"/>
    <col min="11" max="11" width="15.42578125" customWidth="1"/>
    <col min="12" max="12" width="16.28515625" customWidth="1"/>
    <col min="13" max="13" width="15" customWidth="1"/>
    <col min="14" max="14" width="14.28515625" customWidth="1"/>
    <col min="15" max="15" width="14.42578125" customWidth="1"/>
    <col min="16" max="16" width="13.5703125" customWidth="1"/>
  </cols>
  <sheetData>
    <row r="4" spans="2:14" ht="15.75" customHeight="1" x14ac:dyDescent="0.25">
      <c r="B4" s="461" t="s">
        <v>125</v>
      </c>
      <c r="C4" s="461"/>
      <c r="D4" s="461"/>
      <c r="E4" s="461"/>
      <c r="F4" s="461"/>
      <c r="G4" s="461"/>
      <c r="H4" s="461"/>
      <c r="I4" s="461"/>
      <c r="J4" s="461"/>
      <c r="K4" s="461"/>
      <c r="L4" s="461"/>
      <c r="M4" s="461"/>
      <c r="N4" s="461"/>
    </row>
    <row r="5" spans="2:14" ht="15.75" customHeight="1" x14ac:dyDescent="0.25">
      <c r="B5" s="462" t="s">
        <v>777</v>
      </c>
      <c r="C5" s="462"/>
      <c r="D5" s="462"/>
      <c r="E5" s="462"/>
      <c r="F5" s="462"/>
      <c r="G5" s="462"/>
      <c r="H5" s="462"/>
      <c r="I5" s="462"/>
      <c r="J5" s="462"/>
      <c r="K5" s="462"/>
      <c r="L5" s="462"/>
      <c r="M5" s="462"/>
      <c r="N5" s="462"/>
    </row>
    <row r="6" spans="2:14" ht="15.75" customHeight="1" x14ac:dyDescent="0.25">
      <c r="B6" s="461" t="s">
        <v>126</v>
      </c>
      <c r="C6" s="461"/>
      <c r="D6" s="461"/>
      <c r="E6" s="461"/>
      <c r="F6" s="461"/>
      <c r="G6" s="461"/>
      <c r="H6" s="461"/>
      <c r="I6" s="461"/>
      <c r="J6" s="461"/>
      <c r="K6" s="461"/>
      <c r="L6" s="461"/>
      <c r="M6" s="461"/>
      <c r="N6" s="461"/>
    </row>
    <row r="7" spans="2:14" ht="15.75" customHeight="1" x14ac:dyDescent="0.25">
      <c r="B7" s="79"/>
      <c r="C7" s="79"/>
      <c r="D7" s="79"/>
      <c r="E7" s="79"/>
      <c r="F7" s="79"/>
      <c r="G7" s="79"/>
      <c r="H7" s="79"/>
      <c r="I7" s="79"/>
      <c r="J7" s="79"/>
      <c r="K7" s="79"/>
      <c r="L7" s="79"/>
      <c r="M7" s="79"/>
      <c r="N7" s="79"/>
    </row>
    <row r="8" spans="2:14" ht="15" customHeight="1" x14ac:dyDescent="0.25">
      <c r="B8" s="412" t="s">
        <v>127</v>
      </c>
      <c r="C8" s="412" t="s">
        <v>128</v>
      </c>
      <c r="D8" s="412"/>
      <c r="E8" s="412"/>
      <c r="F8" s="412"/>
      <c r="G8" s="412" t="s">
        <v>129</v>
      </c>
      <c r="H8" s="412"/>
      <c r="I8" s="412"/>
      <c r="J8" s="412"/>
      <c r="K8" s="412" t="s">
        <v>130</v>
      </c>
      <c r="L8" s="412"/>
      <c r="M8" s="412" t="s">
        <v>131</v>
      </c>
      <c r="N8" s="412"/>
    </row>
    <row r="9" spans="2:14" ht="15" customHeight="1" x14ac:dyDescent="0.25">
      <c r="B9" s="412"/>
      <c r="C9" s="412" t="s">
        <v>132</v>
      </c>
      <c r="D9" s="412" t="s">
        <v>133</v>
      </c>
      <c r="E9" s="412" t="s">
        <v>134</v>
      </c>
      <c r="F9" s="412" t="s">
        <v>135</v>
      </c>
      <c r="G9" s="412" t="s">
        <v>136</v>
      </c>
      <c r="H9" s="412" t="s">
        <v>132</v>
      </c>
      <c r="I9" s="412" t="s">
        <v>137</v>
      </c>
      <c r="J9" s="412" t="s">
        <v>138</v>
      </c>
      <c r="K9" s="412" t="s">
        <v>139</v>
      </c>
      <c r="L9" s="412" t="s">
        <v>140</v>
      </c>
      <c r="M9" s="5" t="s">
        <v>141</v>
      </c>
      <c r="N9" s="412" t="s">
        <v>142</v>
      </c>
    </row>
    <row r="10" spans="2:14" x14ac:dyDescent="0.25">
      <c r="B10" s="412"/>
      <c r="C10" s="412"/>
      <c r="D10" s="412"/>
      <c r="E10" s="412"/>
      <c r="F10" s="412"/>
      <c r="G10" s="412"/>
      <c r="H10" s="412"/>
      <c r="I10" s="412"/>
      <c r="J10" s="412"/>
      <c r="K10" s="412"/>
      <c r="L10" s="412"/>
      <c r="M10" s="5" t="s">
        <v>143</v>
      </c>
      <c r="N10" s="412"/>
    </row>
    <row r="11" spans="2:14" s="80" customFormat="1" x14ac:dyDescent="0.25">
      <c r="B11" s="81" t="s">
        <v>144</v>
      </c>
      <c r="C11" s="82">
        <f>+'Balance General'!G46</f>
        <v>1360000000</v>
      </c>
      <c r="D11" s="82">
        <f>+'Balance General'!G45</f>
        <v>14010438</v>
      </c>
      <c r="E11" s="82">
        <f>+'Balance General'!G44</f>
        <v>10126094</v>
      </c>
      <c r="F11" s="82">
        <f>+'Balance General'!G43</f>
        <v>4534400000</v>
      </c>
      <c r="G11" s="82">
        <f>+'Balance General'!G48</f>
        <v>154992553</v>
      </c>
      <c r="H11" s="82">
        <v>0</v>
      </c>
      <c r="I11" s="82">
        <f>+'Balance General'!G49</f>
        <v>55315871</v>
      </c>
      <c r="J11" s="82">
        <f>+'Balance General'!G50</f>
        <v>10841802</v>
      </c>
      <c r="K11" s="82">
        <f>+'Balance General'!G52</f>
        <v>-1627508588.1199999</v>
      </c>
      <c r="L11" s="82">
        <f>+'Balance General'!G53</f>
        <v>386111610.00000381</v>
      </c>
      <c r="M11" s="82">
        <v>0</v>
      </c>
      <c r="N11" s="82">
        <f>SUM(C11:L11)</f>
        <v>4898289779.8800039</v>
      </c>
    </row>
    <row r="12" spans="2:14" s="80" customFormat="1" x14ac:dyDescent="0.25">
      <c r="B12" s="83" t="s">
        <v>145</v>
      </c>
      <c r="C12" s="84"/>
      <c r="D12" s="84"/>
      <c r="E12" s="85"/>
      <c r="F12" s="86"/>
      <c r="G12" s="86"/>
      <c r="H12" s="86"/>
      <c r="I12" s="86"/>
      <c r="J12" s="84"/>
      <c r="K12" s="86"/>
      <c r="L12" s="86"/>
      <c r="M12" s="82"/>
      <c r="N12" s="82"/>
    </row>
    <row r="13" spans="2:14" s="80" customFormat="1" x14ac:dyDescent="0.25">
      <c r="B13" s="81" t="s">
        <v>146</v>
      </c>
      <c r="C13" s="87">
        <v>0</v>
      </c>
      <c r="D13" s="87">
        <v>0</v>
      </c>
      <c r="E13" s="87">
        <f>+'Balance General'!F44-'Balance General'!G44</f>
        <v>0</v>
      </c>
      <c r="F13" s="87">
        <f>+'Balance General'!F43-'Balance General'!G43</f>
        <v>0</v>
      </c>
      <c r="G13" s="88">
        <v>0</v>
      </c>
      <c r="H13" s="88">
        <v>0</v>
      </c>
      <c r="I13" s="88">
        <v>0</v>
      </c>
      <c r="J13" s="88">
        <v>0</v>
      </c>
      <c r="K13" s="88">
        <v>0</v>
      </c>
      <c r="L13" s="88">
        <v>0</v>
      </c>
      <c r="M13" s="82">
        <f t="shared" ref="M13:M20" si="0">SUM(C13:L13)</f>
        <v>0</v>
      </c>
      <c r="N13" s="82">
        <v>0</v>
      </c>
    </row>
    <row r="14" spans="2:14" s="80" customFormat="1" x14ac:dyDescent="0.25">
      <c r="B14" s="81" t="s">
        <v>147</v>
      </c>
      <c r="C14" s="87">
        <v>0</v>
      </c>
      <c r="D14" s="87">
        <f>+'Balance General'!F45-'Balance General'!G45</f>
        <v>0</v>
      </c>
      <c r="E14" s="87">
        <v>0</v>
      </c>
      <c r="F14" s="87">
        <v>0</v>
      </c>
      <c r="G14" s="87">
        <v>0</v>
      </c>
      <c r="H14" s="87">
        <v>0</v>
      </c>
      <c r="I14" s="87">
        <v>0</v>
      </c>
      <c r="J14" s="87">
        <v>0</v>
      </c>
      <c r="K14" s="87">
        <v>0</v>
      </c>
      <c r="L14" s="87">
        <v>0</v>
      </c>
      <c r="M14" s="82">
        <f t="shared" si="0"/>
        <v>0</v>
      </c>
      <c r="N14" s="82"/>
    </row>
    <row r="15" spans="2:14" s="80" customFormat="1" x14ac:dyDescent="0.25">
      <c r="B15" s="81" t="s">
        <v>58</v>
      </c>
      <c r="C15" s="88">
        <v>0</v>
      </c>
      <c r="D15" s="88">
        <v>0</v>
      </c>
      <c r="E15" s="88">
        <v>0</v>
      </c>
      <c r="F15" s="88">
        <v>0</v>
      </c>
      <c r="G15" s="89">
        <f>+'Balance General'!F48-'Balance General'!G48</f>
        <v>0</v>
      </c>
      <c r="H15" s="88">
        <v>0</v>
      </c>
      <c r="I15" s="88">
        <f>+'Balance General'!F49-'Balance General'!G49</f>
        <v>19181240</v>
      </c>
      <c r="J15" s="88">
        <v>0</v>
      </c>
      <c r="K15" s="88">
        <v>0</v>
      </c>
      <c r="L15" s="88">
        <v>0</v>
      </c>
      <c r="M15" s="82">
        <f t="shared" si="0"/>
        <v>19181240</v>
      </c>
      <c r="N15" s="82">
        <v>0</v>
      </c>
    </row>
    <row r="16" spans="2:14" s="80" customFormat="1" x14ac:dyDescent="0.25">
      <c r="B16" s="81" t="s">
        <v>148</v>
      </c>
      <c r="C16" s="87">
        <v>0</v>
      </c>
      <c r="D16" s="87">
        <v>0</v>
      </c>
      <c r="E16" s="87">
        <v>0</v>
      </c>
      <c r="F16" s="87">
        <v>0</v>
      </c>
      <c r="G16" s="88">
        <v>0</v>
      </c>
      <c r="H16" s="88">
        <v>0</v>
      </c>
      <c r="I16" s="88">
        <v>0</v>
      </c>
      <c r="J16" s="88">
        <v>0</v>
      </c>
      <c r="K16" s="88">
        <f>+L11</f>
        <v>386111610.00000381</v>
      </c>
      <c r="L16" s="88">
        <f>-K16</f>
        <v>-386111610.00000381</v>
      </c>
      <c r="M16" s="82">
        <f t="shared" si="0"/>
        <v>0</v>
      </c>
      <c r="N16" s="82">
        <v>0</v>
      </c>
    </row>
    <row r="17" spans="2:15" s="80" customFormat="1" x14ac:dyDescent="0.25">
      <c r="B17" s="81" t="s">
        <v>149</v>
      </c>
      <c r="C17" s="87">
        <v>0</v>
      </c>
      <c r="D17" s="87">
        <v>0</v>
      </c>
      <c r="E17" s="87">
        <v>0</v>
      </c>
      <c r="F17" s="87">
        <v>0</v>
      </c>
      <c r="G17" s="88">
        <v>0</v>
      </c>
      <c r="H17" s="88">
        <v>0</v>
      </c>
      <c r="I17" s="88">
        <v>0</v>
      </c>
      <c r="J17" s="88">
        <v>0</v>
      </c>
      <c r="K17" s="88">
        <f>(+'Balance General'!G52-'Balance General'!F52+'Balance General'!G53)*-1</f>
        <v>2.384185791015625E-7</v>
      </c>
      <c r="L17" s="88">
        <v>0</v>
      </c>
      <c r="M17" s="82">
        <f t="shared" si="0"/>
        <v>2.384185791015625E-7</v>
      </c>
      <c r="N17" s="82">
        <v>0</v>
      </c>
    </row>
    <row r="18" spans="2:15" s="80" customFormat="1" x14ac:dyDescent="0.25">
      <c r="B18" s="81" t="s">
        <v>150</v>
      </c>
      <c r="C18" s="87">
        <f>+'Balance General'!F46-'Balance General'!G46</f>
        <v>0</v>
      </c>
      <c r="D18" s="87">
        <v>0</v>
      </c>
      <c r="E18" s="87">
        <v>0</v>
      </c>
      <c r="F18" s="87">
        <v>0</v>
      </c>
      <c r="G18" s="88">
        <v>0</v>
      </c>
      <c r="H18" s="88">
        <v>0</v>
      </c>
      <c r="I18" s="88">
        <v>0</v>
      </c>
      <c r="J18" s="88">
        <v>0</v>
      </c>
      <c r="K18" s="88">
        <v>0</v>
      </c>
      <c r="L18" s="88">
        <v>0</v>
      </c>
      <c r="M18" s="82">
        <f t="shared" si="0"/>
        <v>0</v>
      </c>
      <c r="N18" s="82">
        <v>0</v>
      </c>
    </row>
    <row r="19" spans="2:15" s="80" customFormat="1" x14ac:dyDescent="0.25">
      <c r="B19" s="90" t="s">
        <v>151</v>
      </c>
      <c r="C19" s="91">
        <v>0</v>
      </c>
      <c r="D19" s="91">
        <v>0</v>
      </c>
      <c r="E19" s="91">
        <v>0</v>
      </c>
      <c r="F19" s="91">
        <v>0</v>
      </c>
      <c r="G19" s="92">
        <v>0</v>
      </c>
      <c r="H19" s="92">
        <v>0</v>
      </c>
      <c r="I19" s="92">
        <v>0</v>
      </c>
      <c r="J19" s="92">
        <v>0</v>
      </c>
      <c r="K19" s="93">
        <v>0</v>
      </c>
      <c r="L19" s="91">
        <f>+'Balance General'!F53</f>
        <v>4471912.9600009918</v>
      </c>
      <c r="M19" s="92">
        <f t="shared" si="0"/>
        <v>4471912.9600009918</v>
      </c>
      <c r="N19" s="92">
        <v>0</v>
      </c>
    </row>
    <row r="20" spans="2:15" s="80" customFormat="1" x14ac:dyDescent="0.25">
      <c r="B20" s="94" t="s">
        <v>152</v>
      </c>
      <c r="C20" s="92">
        <f t="shared" ref="C20:L20" si="1">SUM(C11:C19)</f>
        <v>1360000000</v>
      </c>
      <c r="D20" s="92">
        <f t="shared" si="1"/>
        <v>14010438</v>
      </c>
      <c r="E20" s="92">
        <f t="shared" si="1"/>
        <v>10126094</v>
      </c>
      <c r="F20" s="92">
        <f t="shared" si="1"/>
        <v>4534400000</v>
      </c>
      <c r="G20" s="92">
        <f t="shared" si="1"/>
        <v>154992553</v>
      </c>
      <c r="H20" s="92">
        <f t="shared" si="1"/>
        <v>0</v>
      </c>
      <c r="I20" s="92">
        <f t="shared" si="1"/>
        <v>74497111</v>
      </c>
      <c r="J20" s="92">
        <f t="shared" si="1"/>
        <v>10841802</v>
      </c>
      <c r="K20" s="92">
        <f t="shared" si="1"/>
        <v>-1241396978.1199958</v>
      </c>
      <c r="L20" s="92">
        <f t="shared" si="1"/>
        <v>4471912.9600009918</v>
      </c>
      <c r="M20" s="92">
        <f t="shared" si="0"/>
        <v>4921942932.8400049</v>
      </c>
      <c r="N20" s="92">
        <v>0</v>
      </c>
      <c r="O20" s="95"/>
    </row>
    <row r="21" spans="2:15" s="80" customFormat="1" x14ac:dyDescent="0.25">
      <c r="B21" s="94" t="s">
        <v>153</v>
      </c>
      <c r="C21" s="92">
        <f t="shared" ref="C21:H21" si="2">+C11</f>
        <v>1360000000</v>
      </c>
      <c r="D21" s="92">
        <f t="shared" si="2"/>
        <v>14010438</v>
      </c>
      <c r="E21" s="96">
        <f t="shared" si="2"/>
        <v>10126094</v>
      </c>
      <c r="F21" s="96">
        <f t="shared" si="2"/>
        <v>4534400000</v>
      </c>
      <c r="G21" s="92">
        <f t="shared" si="2"/>
        <v>154992553</v>
      </c>
      <c r="H21" s="92">
        <f t="shared" si="2"/>
        <v>0</v>
      </c>
      <c r="I21" s="92">
        <v>0</v>
      </c>
      <c r="J21" s="92">
        <f>+J11</f>
        <v>10841802</v>
      </c>
      <c r="K21" s="92">
        <f>+K11</f>
        <v>-1627508588.1199999</v>
      </c>
      <c r="L21" s="92">
        <f>+L11</f>
        <v>386111610.00000381</v>
      </c>
      <c r="M21" s="92">
        <f>+M11</f>
        <v>0</v>
      </c>
      <c r="N21" s="92">
        <f>+N11</f>
        <v>4898289779.8800039</v>
      </c>
      <c r="O21" s="95"/>
    </row>
    <row r="22" spans="2:15" x14ac:dyDescent="0.25">
      <c r="F22" s="77"/>
    </row>
    <row r="23" spans="2:15" x14ac:dyDescent="0.25">
      <c r="M23" s="77"/>
    </row>
    <row r="24" spans="2:15" ht="16.5" customHeight="1" x14ac:dyDescent="0.25">
      <c r="B24" s="97" t="s">
        <v>77</v>
      </c>
      <c r="C24" s="98"/>
      <c r="D24" s="99"/>
      <c r="E24" s="98"/>
      <c r="F24" s="98"/>
      <c r="G24" s="98"/>
      <c r="H24" s="98"/>
    </row>
  </sheetData>
  <mergeCells count="19">
    <mergeCell ref="G9:G10"/>
    <mergeCell ref="H9:H10"/>
    <mergeCell ref="I9:I10"/>
    <mergeCell ref="J9:J10"/>
    <mergeCell ref="K9:K10"/>
    <mergeCell ref="L9:L10"/>
    <mergeCell ref="N9:N10"/>
    <mergeCell ref="B4:N4"/>
    <mergeCell ref="B5:N5"/>
    <mergeCell ref="B6:N6"/>
    <mergeCell ref="B8:B10"/>
    <mergeCell ref="C8:F8"/>
    <mergeCell ref="G8:J8"/>
    <mergeCell ref="K8:L8"/>
    <mergeCell ref="M8:N8"/>
    <mergeCell ref="C9:C10"/>
    <mergeCell ref="D9:D10"/>
    <mergeCell ref="E9:E10"/>
    <mergeCell ref="F9:F10"/>
  </mergeCells>
  <pageMargins left="0.7" right="0.7" top="0.75" bottom="0.75" header="0.511811023622047" footer="0.511811023622047"/>
  <pageSetup paperSize="9" scale="65" orientation="landscape"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D966"/>
  </sheetPr>
  <dimension ref="B4:D47"/>
  <sheetViews>
    <sheetView showGridLines="0" topLeftCell="A9" zoomScale="102" zoomScaleNormal="102" workbookViewId="0">
      <selection activeCell="B6" sqref="B6:D6"/>
    </sheetView>
  </sheetViews>
  <sheetFormatPr baseColWidth="10" defaultColWidth="10.7109375" defaultRowHeight="15" x14ac:dyDescent="0.25"/>
  <cols>
    <col min="2" max="2" width="74.7109375" customWidth="1"/>
    <col min="3" max="3" width="16.42578125" customWidth="1"/>
    <col min="4" max="4" width="16.5703125" customWidth="1"/>
    <col min="5" max="5" width="13.7109375" customWidth="1"/>
    <col min="7" max="7" width="15.28515625" customWidth="1"/>
  </cols>
  <sheetData>
    <row r="4" spans="2:4" x14ac:dyDescent="0.25">
      <c r="B4" s="463" t="s">
        <v>154</v>
      </c>
      <c r="C4" s="463"/>
      <c r="D4" s="463"/>
    </row>
    <row r="5" spans="2:4" x14ac:dyDescent="0.25">
      <c r="B5" s="464" t="s">
        <v>775</v>
      </c>
      <c r="C5" s="464"/>
      <c r="D5" s="464"/>
    </row>
    <row r="6" spans="2:4" x14ac:dyDescent="0.25">
      <c r="B6" s="463" t="s">
        <v>155</v>
      </c>
      <c r="C6" s="463"/>
      <c r="D6" s="463"/>
    </row>
    <row r="9" spans="2:4" ht="24" customHeight="1" x14ac:dyDescent="0.25">
      <c r="B9" s="101"/>
      <c r="C9" s="1" t="s">
        <v>2</v>
      </c>
      <c r="D9" s="102" t="s">
        <v>78</v>
      </c>
    </row>
    <row r="10" spans="2:4" x14ac:dyDescent="0.25">
      <c r="B10" s="103" t="s">
        <v>156</v>
      </c>
      <c r="C10" s="104"/>
      <c r="D10" s="104"/>
    </row>
    <row r="11" spans="2:4" x14ac:dyDescent="0.25">
      <c r="B11" s="105" t="s">
        <v>157</v>
      </c>
      <c r="C11" s="106">
        <f>+'Estado de Resultados'!C8+'Estado de Resultados'!C24</f>
        <v>465918667.99000072</v>
      </c>
      <c r="D11" s="106">
        <v>409721354.22999954</v>
      </c>
    </row>
    <row r="12" spans="2:4" x14ac:dyDescent="0.25">
      <c r="B12" s="105" t="s">
        <v>158</v>
      </c>
      <c r="C12" s="106">
        <f>-'Notas a los EEFF'!C499-'Notas a los EEFF'!C500-'Notas a los EEFF'!C501+'Balance General'!F22-'Balance General'!G22</f>
        <v>-155910714.65000001</v>
      </c>
      <c r="D12" s="106">
        <v>-147844898.74000001</v>
      </c>
    </row>
    <row r="13" spans="2:4" x14ac:dyDescent="0.25">
      <c r="B13" s="105" t="s">
        <v>159</v>
      </c>
      <c r="C13" s="106">
        <f>+'Estado de Resultados'!C42+'Estado de Resultados'!C46+'Estado de Resultados'!C47+'Estado de Resultados'!C50</f>
        <v>40092150.409999996</v>
      </c>
      <c r="D13" s="106">
        <v>45940621.780000001</v>
      </c>
    </row>
    <row r="14" spans="2:4" ht="15" customHeight="1" x14ac:dyDescent="0.25">
      <c r="B14" s="465" t="s">
        <v>160</v>
      </c>
      <c r="C14" s="466">
        <f>SUM(C11:C13)</f>
        <v>350100103.75000072</v>
      </c>
      <c r="D14" s="466">
        <f>SUM(D11:D13)</f>
        <v>307817077.2699995</v>
      </c>
    </row>
    <row r="15" spans="2:4" x14ac:dyDescent="0.25">
      <c r="B15" s="465"/>
      <c r="C15" s="465"/>
      <c r="D15" s="465"/>
    </row>
    <row r="16" spans="2:4" x14ac:dyDescent="0.25">
      <c r="B16" s="108" t="s">
        <v>161</v>
      </c>
      <c r="C16" s="109"/>
      <c r="D16" s="107"/>
    </row>
    <row r="17" spans="2:4" x14ac:dyDescent="0.25">
      <c r="B17" s="105" t="s">
        <v>162</v>
      </c>
      <c r="C17" s="106">
        <f>+'Balance General'!D24-'Balance General'!C24</f>
        <v>-89900313.000000015</v>
      </c>
      <c r="D17" s="106">
        <v>-80193868.010000005</v>
      </c>
    </row>
    <row r="18" spans="2:4" x14ac:dyDescent="0.25">
      <c r="B18" s="108" t="s">
        <v>163</v>
      </c>
      <c r="C18" s="110"/>
      <c r="D18" s="111"/>
    </row>
    <row r="19" spans="2:4" x14ac:dyDescent="0.25">
      <c r="B19" s="105" t="s">
        <v>164</v>
      </c>
      <c r="C19" s="106">
        <v>-247917074.91999999</v>
      </c>
      <c r="D19" s="106">
        <v>-755466964</v>
      </c>
    </row>
    <row r="20" spans="2:4" x14ac:dyDescent="0.25">
      <c r="B20" s="108" t="s">
        <v>165</v>
      </c>
      <c r="C20" s="112"/>
      <c r="D20" s="106"/>
    </row>
    <row r="21" spans="2:4" x14ac:dyDescent="0.25">
      <c r="B21" s="105" t="s">
        <v>166</v>
      </c>
      <c r="C21" s="106">
        <f>-'Estado de Resultados'!C38-'Estado de Resultados'!C52-'Estado de Resultados'!C53</f>
        <v>0</v>
      </c>
      <c r="D21" s="106">
        <v>0</v>
      </c>
    </row>
    <row r="22" spans="2:4" x14ac:dyDescent="0.25">
      <c r="B22" s="108" t="s">
        <v>167</v>
      </c>
      <c r="C22" s="113">
        <f>SUM(C14:C21)</f>
        <v>12282715.830000728</v>
      </c>
      <c r="D22" s="113">
        <f>SUM(D14:D21)</f>
        <v>-527843754.74000049</v>
      </c>
    </row>
    <row r="23" spans="2:4" x14ac:dyDescent="0.25">
      <c r="B23" s="103" t="s">
        <v>168</v>
      </c>
      <c r="C23" s="104"/>
      <c r="D23" s="114"/>
    </row>
    <row r="24" spans="2:4" x14ac:dyDescent="0.25">
      <c r="B24" s="105" t="s">
        <v>169</v>
      </c>
      <c r="C24" s="106">
        <f>+'Balance General'!D16-'Balance General'!C16</f>
        <v>-125838356.44</v>
      </c>
      <c r="D24" s="106">
        <v>93479996.590000004</v>
      </c>
    </row>
    <row r="25" spans="2:4" x14ac:dyDescent="0.25">
      <c r="B25" s="105" t="s">
        <v>170</v>
      </c>
      <c r="C25" s="106">
        <f>+'Balance General'!D33-'Balance General'!C33+'Balance General'!D34-'Balance General'!C34</f>
        <v>-10819270.850000001</v>
      </c>
      <c r="D25" s="106">
        <v>-224747964.69</v>
      </c>
    </row>
    <row r="26" spans="2:4" x14ac:dyDescent="0.25">
      <c r="B26" s="105" t="s">
        <v>171</v>
      </c>
      <c r="C26" s="106">
        <v>0</v>
      </c>
      <c r="D26" s="106">
        <v>0</v>
      </c>
    </row>
    <row r="27" spans="2:4" x14ac:dyDescent="0.25">
      <c r="B27" s="105" t="s">
        <v>172</v>
      </c>
      <c r="C27" s="106">
        <f>+'Balance General'!D40+'Balance General'!D41-'Balance General'!C40-'Balance General'!C41</f>
        <v>-4839090.4600003958</v>
      </c>
      <c r="D27" s="106">
        <v>-11108470.548758686</v>
      </c>
    </row>
    <row r="28" spans="2:4" x14ac:dyDescent="0.25">
      <c r="B28" s="105" t="s">
        <v>173</v>
      </c>
      <c r="C28" s="106">
        <f>-'Notas a los EEFF'!D245</f>
        <v>0</v>
      </c>
      <c r="D28" s="106">
        <v>-58041960.400000006</v>
      </c>
    </row>
    <row r="29" spans="2:4" ht="15.75" customHeight="1" x14ac:dyDescent="0.25">
      <c r="B29" s="105" t="s">
        <v>174</v>
      </c>
      <c r="C29" s="106">
        <f>+'Balance General'!D17-'Balance General'!C17-'Notas a los EEFF'!C471</f>
        <v>-139630172.12999976</v>
      </c>
      <c r="D29" s="106">
        <v>-97564403.119999886</v>
      </c>
    </row>
    <row r="30" spans="2:4" x14ac:dyDescent="0.25">
      <c r="B30" s="105" t="s">
        <v>175</v>
      </c>
      <c r="C30" s="106">
        <f>+'Notas a los EEFF'!C530</f>
        <v>566517</v>
      </c>
      <c r="D30" s="106">
        <v>66517</v>
      </c>
    </row>
    <row r="31" spans="2:4" x14ac:dyDescent="0.25">
      <c r="B31" s="105" t="s">
        <v>176</v>
      </c>
      <c r="C31" s="106">
        <f>+'Balance General'!C25-'Balance General'!D25</f>
        <v>89900313.000000015</v>
      </c>
      <c r="D31" s="106">
        <v>80193868.010000005</v>
      </c>
    </row>
    <row r="32" spans="2:4" x14ac:dyDescent="0.25">
      <c r="B32" s="108" t="s">
        <v>177</v>
      </c>
      <c r="C32" s="107">
        <f>SUM(C24:C31)</f>
        <v>-190660059.88000011</v>
      </c>
      <c r="D32" s="107">
        <f>SUM(D24:D31)</f>
        <v>-217722417.15875858</v>
      </c>
    </row>
    <row r="33" spans="2:4" x14ac:dyDescent="0.25">
      <c r="B33" s="103" t="s">
        <v>178</v>
      </c>
      <c r="C33" s="104"/>
      <c r="D33" s="114"/>
    </row>
    <row r="34" spans="2:4" x14ac:dyDescent="0.25">
      <c r="B34" s="105" t="s">
        <v>179</v>
      </c>
      <c r="C34" s="106">
        <f>+'Balance General'!F44-'Balance General'!G44+'Balance General'!F45-'Balance General'!G45+'Balance General'!F46-'Balance General'!G46</f>
        <v>0</v>
      </c>
      <c r="D34" s="106">
        <v>156700000</v>
      </c>
    </row>
    <row r="35" spans="2:4" x14ac:dyDescent="0.25">
      <c r="B35" s="105" t="s">
        <v>180</v>
      </c>
      <c r="C35" s="115">
        <f>+'Balance General'!F17-'Balance General'!G17+'Balance General'!F18-'Balance General'!G18-'Notas a los EEFF'!C562</f>
        <v>0</v>
      </c>
      <c r="D35" s="106">
        <v>0</v>
      </c>
    </row>
    <row r="36" spans="2:4" hidden="1" x14ac:dyDescent="0.25">
      <c r="B36" s="105" t="s">
        <v>181</v>
      </c>
      <c r="C36" s="106">
        <v>0</v>
      </c>
      <c r="D36" s="106">
        <v>0</v>
      </c>
    </row>
    <row r="37" spans="2:4" x14ac:dyDescent="0.25">
      <c r="B37" s="105" t="s">
        <v>182</v>
      </c>
      <c r="C37" s="115">
        <f>+'Estado de Resultados'!C49</f>
        <v>0</v>
      </c>
      <c r="D37" s="106">
        <v>0</v>
      </c>
    </row>
    <row r="38" spans="2:4" x14ac:dyDescent="0.25">
      <c r="B38" s="105" t="s">
        <v>183</v>
      </c>
      <c r="C38" s="115">
        <f>+'Balance General'!F49-'Balance General'!G49</f>
        <v>19181240</v>
      </c>
      <c r="D38" s="115">
        <v>0</v>
      </c>
    </row>
    <row r="39" spans="2:4" x14ac:dyDescent="0.25">
      <c r="B39" s="108" t="s">
        <v>184</v>
      </c>
      <c r="C39" s="107">
        <f>SUM(C34:C38)</f>
        <v>19181240</v>
      </c>
      <c r="D39" s="107">
        <f>SUM(D34:D38)</f>
        <v>156700000</v>
      </c>
    </row>
    <row r="40" spans="2:4" x14ac:dyDescent="0.25">
      <c r="B40" s="108" t="s">
        <v>185</v>
      </c>
      <c r="C40" s="107">
        <f>+'Notas a los EEFF'!D72+'Notas a los EEFF'!D73</f>
        <v>16016141.48</v>
      </c>
      <c r="D40" s="107">
        <v>19210695.640000001</v>
      </c>
    </row>
    <row r="41" spans="2:4" x14ac:dyDescent="0.25">
      <c r="B41" s="108" t="s">
        <v>186</v>
      </c>
      <c r="C41" s="107">
        <f>+C22+C32+C39+C40</f>
        <v>-143179962.5699994</v>
      </c>
      <c r="D41" s="107">
        <f>+D22+D32+D39+D40</f>
        <v>-569655476.25875914</v>
      </c>
    </row>
    <row r="42" spans="2:4" x14ac:dyDescent="0.25">
      <c r="B42" s="108" t="s">
        <v>187</v>
      </c>
      <c r="C42" s="107">
        <f>+'Balance General'!D11</f>
        <v>1074423240.4300001</v>
      </c>
      <c r="D42" s="107">
        <v>1311163647.2199998</v>
      </c>
    </row>
    <row r="43" spans="2:4" x14ac:dyDescent="0.25">
      <c r="B43" s="108" t="s">
        <v>188</v>
      </c>
      <c r="C43" s="107">
        <f>+C41+C42</f>
        <v>931243277.86000061</v>
      </c>
      <c r="D43" s="107">
        <f>+D41+D42</f>
        <v>741508170.96124065</v>
      </c>
    </row>
    <row r="44" spans="2:4" x14ac:dyDescent="0.25">
      <c r="C44" s="54"/>
      <c r="D44" s="77"/>
    </row>
    <row r="45" spans="2:4" x14ac:dyDescent="0.25">
      <c r="B45" s="97" t="s">
        <v>77</v>
      </c>
      <c r="C45" s="98"/>
      <c r="D45" s="99"/>
    </row>
    <row r="47" spans="2:4" x14ac:dyDescent="0.25">
      <c r="C47" s="77"/>
    </row>
  </sheetData>
  <mergeCells count="6">
    <mergeCell ref="B4:D4"/>
    <mergeCell ref="B5:D5"/>
    <mergeCell ref="B6:D6"/>
    <mergeCell ref="B14:B15"/>
    <mergeCell ref="C14:C15"/>
    <mergeCell ref="D14:D15"/>
  </mergeCells>
  <pageMargins left="0.70833333333333304" right="0.70833333333333304" top="1.1416666666666699" bottom="0.74791666666666701" header="0.511811023622047" footer="0.511811023622047"/>
  <pageSetup scale="77"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D966"/>
    <pageSetUpPr fitToPage="1"/>
  </sheetPr>
  <dimension ref="A4:M825"/>
  <sheetViews>
    <sheetView showGridLines="0" topLeftCell="A96" zoomScale="102" zoomScaleNormal="102" workbookViewId="0">
      <selection activeCell="F91" sqref="F91"/>
    </sheetView>
  </sheetViews>
  <sheetFormatPr baseColWidth="10" defaultColWidth="10.7109375" defaultRowHeight="15" x14ac:dyDescent="0.25"/>
  <cols>
    <col min="1" max="1" width="14.28515625" style="116" customWidth="1"/>
    <col min="2" max="2" width="89.42578125" customWidth="1"/>
    <col min="3" max="3" width="42.42578125" customWidth="1"/>
    <col min="4" max="4" width="22.42578125" customWidth="1"/>
    <col min="5" max="5" width="24.28515625" customWidth="1"/>
    <col min="6" max="6" width="27.42578125" customWidth="1"/>
    <col min="7" max="7" width="26.42578125" customWidth="1"/>
    <col min="8" max="8" width="30.7109375" customWidth="1"/>
    <col min="9" max="9" width="29" customWidth="1"/>
    <col min="10" max="10" width="17.140625" customWidth="1"/>
    <col min="11" max="11" width="24.7109375" customWidth="1"/>
    <col min="12" max="12" width="19.42578125" customWidth="1"/>
    <col min="13" max="13" width="15" customWidth="1"/>
  </cols>
  <sheetData>
    <row r="4" spans="1:2" x14ac:dyDescent="0.25">
      <c r="B4" s="117" t="s">
        <v>189</v>
      </c>
    </row>
    <row r="5" spans="1:2" ht="9" customHeight="1" x14ac:dyDescent="0.25"/>
    <row r="6" spans="1:2" x14ac:dyDescent="0.25">
      <c r="A6" s="118" t="s">
        <v>190</v>
      </c>
      <c r="B6" s="119" t="s">
        <v>191</v>
      </c>
    </row>
    <row r="7" spans="1:2" x14ac:dyDescent="0.25">
      <c r="A7" s="120"/>
    </row>
    <row r="8" spans="1:2" ht="45" customHeight="1" x14ac:dyDescent="0.25">
      <c r="B8" s="120" t="s">
        <v>772</v>
      </c>
    </row>
    <row r="9" spans="1:2" ht="4.5" customHeight="1" x14ac:dyDescent="0.25">
      <c r="B9" s="120" t="s">
        <v>192</v>
      </c>
    </row>
    <row r="11" spans="1:2" x14ac:dyDescent="0.25">
      <c r="A11" s="118" t="s">
        <v>193</v>
      </c>
      <c r="B11" s="119" t="s">
        <v>194</v>
      </c>
    </row>
    <row r="13" spans="1:2" x14ac:dyDescent="0.25">
      <c r="B13" s="118" t="s">
        <v>195</v>
      </c>
    </row>
    <row r="14" spans="1:2" ht="30" customHeight="1" x14ac:dyDescent="0.25">
      <c r="B14" s="118" t="s">
        <v>196</v>
      </c>
    </row>
    <row r="15" spans="1:2" ht="90" customHeight="1" x14ac:dyDescent="0.25">
      <c r="B15" s="120" t="s">
        <v>197</v>
      </c>
    </row>
    <row r="16" spans="1:2" ht="30" customHeight="1" x14ac:dyDescent="0.25">
      <c r="B16" s="120" t="s">
        <v>198</v>
      </c>
    </row>
    <row r="17" spans="1:2" ht="90" customHeight="1" x14ac:dyDescent="0.25">
      <c r="B17" s="120" t="s">
        <v>199</v>
      </c>
    </row>
    <row r="19" spans="1:2" x14ac:dyDescent="0.25">
      <c r="B19" s="118" t="s">
        <v>200</v>
      </c>
    </row>
    <row r="20" spans="1:2" x14ac:dyDescent="0.25">
      <c r="B20" s="120" t="s">
        <v>201</v>
      </c>
    </row>
    <row r="21" spans="1:2" ht="47.25" customHeight="1" x14ac:dyDescent="0.25"/>
    <row r="23" spans="1:2" x14ac:dyDescent="0.25">
      <c r="A23" s="118" t="s">
        <v>202</v>
      </c>
      <c r="B23" s="119" t="s">
        <v>203</v>
      </c>
    </row>
    <row r="24" spans="1:2" ht="45" customHeight="1" x14ac:dyDescent="0.25">
      <c r="B24" s="121" t="s">
        <v>773</v>
      </c>
    </row>
    <row r="26" spans="1:2" ht="120" customHeight="1" x14ac:dyDescent="0.25">
      <c r="B26" s="120" t="s">
        <v>204</v>
      </c>
    </row>
    <row r="28" spans="1:2" ht="30" customHeight="1" x14ac:dyDescent="0.25">
      <c r="B28" s="120" t="s">
        <v>205</v>
      </c>
    </row>
    <row r="29" spans="1:2" ht="30" customHeight="1" x14ac:dyDescent="0.25">
      <c r="B29" s="120" t="s">
        <v>206</v>
      </c>
    </row>
    <row r="31" spans="1:2" ht="30" customHeight="1" x14ac:dyDescent="0.25">
      <c r="B31" s="120" t="s">
        <v>207</v>
      </c>
    </row>
    <row r="32" spans="1:2" x14ac:dyDescent="0.25">
      <c r="B32" s="120"/>
    </row>
    <row r="33" spans="1:5" ht="90" customHeight="1" x14ac:dyDescent="0.25">
      <c r="B33" s="120" t="s">
        <v>208</v>
      </c>
    </row>
    <row r="35" spans="1:5" x14ac:dyDescent="0.25">
      <c r="B35" s="120" t="s">
        <v>209</v>
      </c>
    </row>
    <row r="37" spans="1:5" x14ac:dyDescent="0.25">
      <c r="A37" s="118" t="s">
        <v>210</v>
      </c>
      <c r="B37" s="119" t="s">
        <v>211</v>
      </c>
    </row>
    <row r="38" spans="1:5" x14ac:dyDescent="0.25">
      <c r="B38" s="120" t="s">
        <v>212</v>
      </c>
    </row>
    <row r="43" spans="1:5" x14ac:dyDescent="0.25">
      <c r="A43" s="100" t="s">
        <v>213</v>
      </c>
      <c r="B43" s="122" t="s">
        <v>214</v>
      </c>
      <c r="C43" s="123"/>
      <c r="D43" s="123"/>
      <c r="E43" s="123"/>
    </row>
    <row r="44" spans="1:5" x14ac:dyDescent="0.25">
      <c r="B44" s="122" t="s">
        <v>215</v>
      </c>
      <c r="C44" s="123"/>
      <c r="D44" s="123"/>
      <c r="E44" s="123"/>
    </row>
    <row r="45" spans="1:5" ht="37.5" customHeight="1" x14ac:dyDescent="0.25">
      <c r="B45" s="404" t="s">
        <v>216</v>
      </c>
      <c r="C45" s="404"/>
      <c r="D45" s="404"/>
      <c r="E45" s="404"/>
    </row>
    <row r="47" spans="1:5" x14ac:dyDescent="0.25">
      <c r="B47" s="405"/>
      <c r="C47" s="5" t="s">
        <v>217</v>
      </c>
      <c r="D47" s="5" t="s">
        <v>218</v>
      </c>
    </row>
    <row r="48" spans="1:5" ht="12" customHeight="1" x14ac:dyDescent="0.25">
      <c r="B48" s="405"/>
      <c r="C48" s="5" t="s">
        <v>219</v>
      </c>
      <c r="D48" s="5" t="s">
        <v>220</v>
      </c>
    </row>
    <row r="49" spans="2:9" x14ac:dyDescent="0.25">
      <c r="B49" s="124" t="s">
        <v>221</v>
      </c>
      <c r="C49" s="125">
        <v>6503.49</v>
      </c>
      <c r="D49" s="125">
        <v>6575.71</v>
      </c>
    </row>
    <row r="50" spans="2:9" x14ac:dyDescent="0.25">
      <c r="B50" s="124" t="s">
        <v>222</v>
      </c>
      <c r="C50" s="125">
        <v>6503.49</v>
      </c>
      <c r="D50" s="125">
        <v>6575.71</v>
      </c>
    </row>
    <row r="52" spans="2:9" x14ac:dyDescent="0.25">
      <c r="B52" s="122" t="s">
        <v>223</v>
      </c>
    </row>
    <row r="53" spans="2:9" x14ac:dyDescent="0.25">
      <c r="B53" s="123"/>
    </row>
    <row r="54" spans="2:9" x14ac:dyDescent="0.25">
      <c r="B54" s="406" t="s">
        <v>224</v>
      </c>
      <c r="C54" s="406"/>
    </row>
    <row r="56" spans="2:9" ht="15" customHeight="1" x14ac:dyDescent="0.25">
      <c r="B56" s="407" t="s">
        <v>225</v>
      </c>
      <c r="C56" s="407" t="s">
        <v>226</v>
      </c>
      <c r="D56" s="407" t="s">
        <v>227</v>
      </c>
      <c r="E56" s="407" t="s">
        <v>228</v>
      </c>
      <c r="F56" s="407" t="s">
        <v>229</v>
      </c>
      <c r="G56" s="407" t="s">
        <v>230</v>
      </c>
      <c r="H56" s="407" t="s">
        <v>231</v>
      </c>
      <c r="I56" s="407" t="s">
        <v>232</v>
      </c>
    </row>
    <row r="57" spans="2:9" x14ac:dyDescent="0.25">
      <c r="B57" s="407"/>
      <c r="C57" s="407"/>
      <c r="D57" s="407"/>
      <c r="E57" s="407"/>
      <c r="F57" s="407"/>
      <c r="G57" s="407"/>
      <c r="H57" s="407"/>
      <c r="I57" s="407"/>
    </row>
    <row r="58" spans="2:9" x14ac:dyDescent="0.25">
      <c r="B58" s="407"/>
      <c r="C58" s="407"/>
      <c r="D58" s="407"/>
      <c r="E58" s="407"/>
      <c r="F58" s="407"/>
      <c r="G58" s="407"/>
      <c r="H58" s="407"/>
      <c r="I58" s="407"/>
    </row>
    <row r="59" spans="2:9" x14ac:dyDescent="0.25">
      <c r="B59" s="126" t="s">
        <v>233</v>
      </c>
      <c r="C59" s="127"/>
      <c r="D59" s="128"/>
      <c r="E59" s="127"/>
      <c r="F59" s="127"/>
      <c r="G59" s="127"/>
      <c r="H59" s="127"/>
      <c r="I59" s="127"/>
    </row>
    <row r="60" spans="2:9" x14ac:dyDescent="0.25">
      <c r="B60" s="129" t="s">
        <v>234</v>
      </c>
      <c r="C60" s="127"/>
      <c r="D60" s="128"/>
      <c r="E60" s="127"/>
      <c r="F60" s="127"/>
      <c r="G60" s="128"/>
      <c r="H60" s="127"/>
      <c r="I60" s="127"/>
    </row>
    <row r="61" spans="2:9" x14ac:dyDescent="0.25">
      <c r="B61" s="130" t="s">
        <v>235</v>
      </c>
      <c r="C61" s="131" t="s">
        <v>236</v>
      </c>
      <c r="D61" s="132">
        <v>81973.89</v>
      </c>
      <c r="E61" s="132">
        <f>+$C$49</f>
        <v>6503.49</v>
      </c>
      <c r="F61" s="133">
        <v>533116373.88</v>
      </c>
      <c r="G61" s="132">
        <v>143239.56</v>
      </c>
      <c r="H61" s="132">
        <f>+$D$49</f>
        <v>6575.71</v>
      </c>
      <c r="I61" s="133">
        <f>+G61*H61</f>
        <v>941901807.08759999</v>
      </c>
    </row>
    <row r="62" spans="2:9" x14ac:dyDescent="0.25">
      <c r="B62" s="130" t="s">
        <v>237</v>
      </c>
      <c r="C62" s="131" t="s">
        <v>236</v>
      </c>
      <c r="D62" s="132"/>
      <c r="E62" s="132">
        <f>+$C$49</f>
        <v>6503.49</v>
      </c>
      <c r="F62" s="133">
        <f>+D62*E62</f>
        <v>0</v>
      </c>
      <c r="G62" s="132">
        <v>0</v>
      </c>
      <c r="H62" s="132">
        <f>+$D$49</f>
        <v>6575.71</v>
      </c>
      <c r="I62" s="133">
        <f>+G62*H62</f>
        <v>0</v>
      </c>
    </row>
    <row r="63" spans="2:9" x14ac:dyDescent="0.25">
      <c r="B63" s="130" t="s">
        <v>238</v>
      </c>
      <c r="C63" s="131" t="s">
        <v>236</v>
      </c>
      <c r="D63" s="132">
        <v>885.38</v>
      </c>
      <c r="E63" s="132">
        <f>+$C$49</f>
        <v>6503.49</v>
      </c>
      <c r="F63" s="133">
        <v>5758059.9800000004</v>
      </c>
      <c r="G63" s="132">
        <v>5482.11</v>
      </c>
      <c r="H63" s="132">
        <f>+$D$49</f>
        <v>6575.71</v>
      </c>
      <c r="I63" s="133">
        <f>+G63*H63</f>
        <v>36048765.548099995</v>
      </c>
    </row>
    <row r="64" spans="2:9" x14ac:dyDescent="0.25">
      <c r="B64" s="130" t="s">
        <v>239</v>
      </c>
      <c r="C64" s="131" t="s">
        <v>236</v>
      </c>
      <c r="D64" s="132">
        <v>0</v>
      </c>
      <c r="E64" s="132">
        <f>+$C$49</f>
        <v>6503.49</v>
      </c>
      <c r="F64" s="133">
        <v>6649558.3899999997</v>
      </c>
      <c r="G64" s="132">
        <v>1022.46</v>
      </c>
      <c r="H64" s="132">
        <f>+$D$49</f>
        <v>6575.71</v>
      </c>
      <c r="I64" s="133">
        <f>+G64*H64</f>
        <v>6723400.4466000004</v>
      </c>
    </row>
    <row r="65" spans="2:9" x14ac:dyDescent="0.25">
      <c r="B65" s="129" t="s">
        <v>240</v>
      </c>
      <c r="C65" s="131"/>
      <c r="D65" s="132"/>
      <c r="E65" s="132"/>
      <c r="F65" s="133"/>
      <c r="G65" s="132"/>
      <c r="H65" s="132"/>
      <c r="I65" s="133"/>
    </row>
    <row r="66" spans="2:9" x14ac:dyDescent="0.25">
      <c r="B66" s="130" t="s">
        <v>241</v>
      </c>
      <c r="C66" s="131" t="s">
        <v>236</v>
      </c>
      <c r="D66" s="132"/>
      <c r="E66" s="132">
        <f>+C50</f>
        <v>6503.49</v>
      </c>
      <c r="F66" s="133">
        <f>+D66*E66</f>
        <v>0</v>
      </c>
      <c r="G66" s="132">
        <v>0</v>
      </c>
      <c r="H66" s="132">
        <f>+D50</f>
        <v>6575.71</v>
      </c>
      <c r="I66" s="133">
        <f>+G66*H66</f>
        <v>0</v>
      </c>
    </row>
    <row r="67" spans="2:9" x14ac:dyDescent="0.25">
      <c r="B67" s="130"/>
      <c r="C67" s="131"/>
      <c r="D67" s="132"/>
      <c r="E67" s="132"/>
      <c r="F67" s="133"/>
      <c r="G67" s="132"/>
      <c r="H67" s="132"/>
      <c r="I67" s="133"/>
    </row>
    <row r="69" spans="2:9" x14ac:dyDescent="0.25">
      <c r="B69" s="408" t="s">
        <v>242</v>
      </c>
      <c r="C69" s="408"/>
    </row>
    <row r="71" spans="2:9" ht="22.5" customHeight="1" x14ac:dyDescent="0.25">
      <c r="B71" s="10" t="s">
        <v>243</v>
      </c>
      <c r="C71" s="10" t="s">
        <v>244</v>
      </c>
      <c r="D71" s="10" t="s">
        <v>245</v>
      </c>
      <c r="E71" s="10" t="s">
        <v>246</v>
      </c>
      <c r="F71" s="10" t="s">
        <v>247</v>
      </c>
    </row>
    <row r="72" spans="2:9" x14ac:dyDescent="0.25">
      <c r="B72" s="134" t="s">
        <v>248</v>
      </c>
      <c r="C72" s="135">
        <f>+C49</f>
        <v>6503.49</v>
      </c>
      <c r="D72" s="136">
        <v>32979823.309999999</v>
      </c>
      <c r="E72" s="137">
        <f>+D49</f>
        <v>6575.71</v>
      </c>
      <c r="F72" s="136"/>
    </row>
    <row r="73" spans="2:9" x14ac:dyDescent="0.25">
      <c r="B73" s="134" t="s">
        <v>249</v>
      </c>
      <c r="C73" s="135">
        <f>+C49</f>
        <v>6503.49</v>
      </c>
      <c r="D73" s="136">
        <v>-16963681.829999998</v>
      </c>
      <c r="E73" s="138">
        <f>+D50</f>
        <v>6575.71</v>
      </c>
      <c r="F73" s="136"/>
    </row>
    <row r="74" spans="2:9" x14ac:dyDescent="0.25">
      <c r="B74" s="139"/>
      <c r="C74" s="132"/>
      <c r="D74" s="133"/>
      <c r="E74" s="140"/>
      <c r="F74" s="141"/>
    </row>
    <row r="75" spans="2:9" x14ac:dyDescent="0.25">
      <c r="B75" s="139"/>
      <c r="C75" s="132"/>
      <c r="D75" s="133"/>
      <c r="E75" s="140"/>
      <c r="F75" s="141"/>
    </row>
    <row r="76" spans="2:9" x14ac:dyDescent="0.25">
      <c r="B76" s="142"/>
      <c r="C76" s="143"/>
      <c r="D76" s="144"/>
      <c r="E76" s="143"/>
      <c r="F76" s="144"/>
    </row>
    <row r="77" spans="2:9" x14ac:dyDescent="0.25">
      <c r="B77" s="142"/>
      <c r="C77" s="143"/>
      <c r="D77" s="144"/>
      <c r="E77" s="143"/>
      <c r="F77" s="144"/>
    </row>
    <row r="80" spans="2:9" ht="20.25" customHeight="1" x14ac:dyDescent="0.25">
      <c r="B80" s="122" t="s">
        <v>250</v>
      </c>
      <c r="C80" s="123"/>
      <c r="D80" s="123"/>
      <c r="E80" s="123"/>
    </row>
    <row r="81" spans="2:5" x14ac:dyDescent="0.25">
      <c r="B81" s="409" t="s">
        <v>251</v>
      </c>
      <c r="C81" s="409"/>
      <c r="D81" s="409"/>
      <c r="E81" s="409"/>
    </row>
    <row r="83" spans="2:5" ht="15" customHeight="1" x14ac:dyDescent="0.25">
      <c r="B83" s="410" t="s">
        <v>252</v>
      </c>
      <c r="C83" s="410" t="s">
        <v>253</v>
      </c>
      <c r="D83" s="411" t="s">
        <v>254</v>
      </c>
    </row>
    <row r="84" spans="2:5" x14ac:dyDescent="0.25">
      <c r="B84" s="410"/>
      <c r="C84" s="410"/>
      <c r="D84" s="410"/>
    </row>
    <row r="85" spans="2:5" x14ac:dyDescent="0.25">
      <c r="B85" s="145" t="s">
        <v>255</v>
      </c>
      <c r="C85" s="146">
        <v>0</v>
      </c>
      <c r="D85" s="146">
        <v>0</v>
      </c>
    </row>
    <row r="86" spans="2:5" x14ac:dyDescent="0.25">
      <c r="B86" s="145" t="s">
        <v>256</v>
      </c>
      <c r="C86" s="146">
        <v>7241688</v>
      </c>
      <c r="D86" s="72">
        <v>2269536</v>
      </c>
    </row>
    <row r="87" spans="2:5" x14ac:dyDescent="0.25">
      <c r="B87" s="145" t="s">
        <v>235</v>
      </c>
      <c r="C87" s="146">
        <v>533116373.88</v>
      </c>
      <c r="D87" s="72">
        <v>941901807.09000003</v>
      </c>
    </row>
    <row r="88" spans="2:5" x14ac:dyDescent="0.25">
      <c r="B88" s="145" t="s">
        <v>257</v>
      </c>
      <c r="C88" s="146">
        <v>384563314</v>
      </c>
      <c r="D88" s="72">
        <v>67959374</v>
      </c>
    </row>
    <row r="89" spans="2:5" x14ac:dyDescent="0.25">
      <c r="B89" s="145" t="s">
        <v>258</v>
      </c>
      <c r="C89" s="146">
        <v>48597</v>
      </c>
      <c r="D89" s="72">
        <v>48597</v>
      </c>
    </row>
    <row r="90" spans="2:5" x14ac:dyDescent="0.25">
      <c r="B90" s="145" t="s">
        <v>259</v>
      </c>
      <c r="C90" s="146">
        <v>0</v>
      </c>
      <c r="D90" s="72">
        <v>0</v>
      </c>
    </row>
    <row r="91" spans="2:5" x14ac:dyDescent="0.25">
      <c r="B91" s="145" t="s">
        <v>260</v>
      </c>
      <c r="C91" s="146">
        <v>515245</v>
      </c>
      <c r="D91" s="72">
        <v>515245</v>
      </c>
    </row>
    <row r="92" spans="2:5" x14ac:dyDescent="0.25">
      <c r="B92" s="145" t="s">
        <v>261</v>
      </c>
      <c r="C92" s="146">
        <v>0</v>
      </c>
      <c r="D92" s="72">
        <v>0</v>
      </c>
    </row>
    <row r="93" spans="2:5" x14ac:dyDescent="0.25">
      <c r="B93" s="145" t="s">
        <v>262</v>
      </c>
      <c r="C93" s="146">
        <v>0</v>
      </c>
      <c r="D93" s="72">
        <v>0</v>
      </c>
    </row>
    <row r="94" spans="2:5" x14ac:dyDescent="0.25">
      <c r="B94" s="145" t="s">
        <v>263</v>
      </c>
      <c r="C94" s="146">
        <v>5758059.9800000004</v>
      </c>
      <c r="D94" s="72">
        <v>36048765.890000001</v>
      </c>
    </row>
    <row r="95" spans="2:5" x14ac:dyDescent="0.25">
      <c r="B95" s="145" t="s">
        <v>264</v>
      </c>
      <c r="C95" s="146">
        <v>0</v>
      </c>
      <c r="D95" s="72">
        <v>25679915.449999999</v>
      </c>
    </row>
    <row r="96" spans="2:5" x14ac:dyDescent="0.25">
      <c r="B96" s="147" t="s">
        <v>265</v>
      </c>
      <c r="C96" s="148">
        <f>SUM(C85:C95)</f>
        <v>931243277.86000001</v>
      </c>
      <c r="D96" s="148">
        <f>SUM(D85:D95)</f>
        <v>1074423240.4300001</v>
      </c>
    </row>
    <row r="98" spans="2:9" x14ac:dyDescent="0.25">
      <c r="B98" s="122" t="s">
        <v>266</v>
      </c>
      <c r="C98" s="123"/>
      <c r="D98" s="123"/>
    </row>
    <row r="99" spans="2:9" x14ac:dyDescent="0.25">
      <c r="B99" s="409" t="s">
        <v>267</v>
      </c>
      <c r="C99" s="409"/>
      <c r="D99" s="409"/>
    </row>
    <row r="101" spans="2:9" ht="15" customHeight="1" x14ac:dyDescent="0.25">
      <c r="B101" s="412" t="s">
        <v>268</v>
      </c>
      <c r="C101" s="412"/>
      <c r="D101" s="412"/>
      <c r="E101" s="412"/>
      <c r="F101" s="412"/>
      <c r="G101" s="412" t="s">
        <v>269</v>
      </c>
      <c r="H101" s="412"/>
      <c r="I101" s="412"/>
    </row>
    <row r="102" spans="2:9" ht="18" customHeight="1" x14ac:dyDescent="0.25">
      <c r="B102" s="4"/>
      <c r="C102" s="4" t="s">
        <v>270</v>
      </c>
      <c r="D102" s="413" t="s">
        <v>271</v>
      </c>
      <c r="E102" s="413" t="s">
        <v>272</v>
      </c>
      <c r="F102" s="4" t="s">
        <v>273</v>
      </c>
      <c r="G102" s="4"/>
      <c r="H102" s="4"/>
      <c r="I102" s="4" t="s">
        <v>274</v>
      </c>
    </row>
    <row r="103" spans="2:9" x14ac:dyDescent="0.25">
      <c r="B103" s="4" t="s">
        <v>275</v>
      </c>
      <c r="C103" s="4" t="s">
        <v>276</v>
      </c>
      <c r="D103" s="413"/>
      <c r="E103" s="413"/>
      <c r="F103" s="4" t="s">
        <v>277</v>
      </c>
      <c r="G103" s="4" t="s">
        <v>128</v>
      </c>
      <c r="H103" s="4" t="s">
        <v>278</v>
      </c>
      <c r="I103" s="4" t="s">
        <v>279</v>
      </c>
    </row>
    <row r="104" spans="2:9" x14ac:dyDescent="0.25">
      <c r="B104" s="149" t="s">
        <v>280</v>
      </c>
      <c r="C104" s="150"/>
      <c r="D104" s="151"/>
      <c r="E104" s="152"/>
      <c r="F104" s="152"/>
      <c r="G104" s="151"/>
      <c r="H104" s="151"/>
      <c r="I104" s="151"/>
    </row>
    <row r="105" spans="2:9" x14ac:dyDescent="0.25">
      <c r="B105" s="81" t="s">
        <v>281</v>
      </c>
      <c r="C105" s="153" t="s">
        <v>282</v>
      </c>
      <c r="D105" s="153">
        <v>1</v>
      </c>
      <c r="E105" s="154">
        <v>600000000</v>
      </c>
      <c r="F105" s="154">
        <v>1560000000</v>
      </c>
      <c r="G105" s="155">
        <f>+E105*42</f>
        <v>25200000000</v>
      </c>
      <c r="H105" s="155">
        <v>0</v>
      </c>
      <c r="I105" s="155">
        <v>0</v>
      </c>
    </row>
    <row r="106" spans="2:9" x14ac:dyDescent="0.25">
      <c r="B106" s="81"/>
      <c r="C106" s="153"/>
      <c r="D106" s="153"/>
      <c r="E106" s="156"/>
      <c r="F106" s="154"/>
      <c r="G106" s="153"/>
      <c r="H106" s="153"/>
      <c r="I106" s="153"/>
    </row>
    <row r="107" spans="2:9" ht="15" customHeight="1" x14ac:dyDescent="0.25">
      <c r="B107" s="414" t="s">
        <v>283</v>
      </c>
      <c r="C107" s="414"/>
      <c r="D107" s="414"/>
      <c r="E107" s="157">
        <v>0</v>
      </c>
      <c r="F107" s="157">
        <f>SUM(F105:F106)</f>
        <v>1560000000</v>
      </c>
      <c r="G107" s="153"/>
      <c r="H107" s="153"/>
      <c r="I107" s="153"/>
    </row>
    <row r="108" spans="2:9" ht="15" customHeight="1" x14ac:dyDescent="0.25">
      <c r="B108" s="415" t="s">
        <v>284</v>
      </c>
      <c r="C108" s="415"/>
      <c r="D108" s="415"/>
      <c r="E108" s="86">
        <v>0</v>
      </c>
      <c r="F108" s="158">
        <v>0</v>
      </c>
      <c r="G108" s="153"/>
      <c r="H108" s="153"/>
      <c r="I108" s="153"/>
    </row>
    <row r="110" spans="2:9" x14ac:dyDescent="0.25">
      <c r="B110" s="122" t="s">
        <v>285</v>
      </c>
      <c r="C110" s="123"/>
      <c r="D110" s="123"/>
      <c r="E110" s="123"/>
      <c r="F110" s="123"/>
    </row>
    <row r="111" spans="2:9" ht="47.25" customHeight="1" x14ac:dyDescent="0.25">
      <c r="B111" s="404" t="s">
        <v>286</v>
      </c>
      <c r="C111" s="404"/>
      <c r="D111" s="404"/>
      <c r="E111" s="404"/>
      <c r="F111" s="404"/>
      <c r="G111" s="159"/>
    </row>
    <row r="112" spans="2:9" ht="27" customHeight="1" x14ac:dyDescent="0.25">
      <c r="B112" s="5" t="s">
        <v>287</v>
      </c>
      <c r="C112" s="5" t="s">
        <v>288</v>
      </c>
      <c r="D112" s="5" t="s">
        <v>289</v>
      </c>
      <c r="E112" s="5" t="s">
        <v>290</v>
      </c>
    </row>
    <row r="113" spans="2:10" x14ac:dyDescent="0.25">
      <c r="B113" s="124" t="s">
        <v>291</v>
      </c>
      <c r="C113" s="160">
        <v>600000000</v>
      </c>
      <c r="D113" s="160"/>
      <c r="E113" s="160">
        <f>+F105</f>
        <v>1560000000</v>
      </c>
    </row>
    <row r="114" spans="2:10" x14ac:dyDescent="0.25">
      <c r="B114" s="124" t="s">
        <v>292</v>
      </c>
      <c r="C114" s="160">
        <v>200000000</v>
      </c>
      <c r="D114" s="160"/>
      <c r="E114" s="160">
        <v>1003000000</v>
      </c>
    </row>
    <row r="116" spans="2:10" x14ac:dyDescent="0.25">
      <c r="B116" s="161" t="s">
        <v>293</v>
      </c>
    </row>
    <row r="117" spans="2:10" x14ac:dyDescent="0.25">
      <c r="C117" t="s">
        <v>294</v>
      </c>
      <c r="D117" s="77"/>
      <c r="H117" s="161" t="s">
        <v>295</v>
      </c>
      <c r="I117" s="161"/>
      <c r="J117" s="162">
        <v>7831.26</v>
      </c>
    </row>
    <row r="118" spans="2:10" x14ac:dyDescent="0.25">
      <c r="C118" s="161" t="s">
        <v>287</v>
      </c>
      <c r="D118" s="163" t="s">
        <v>296</v>
      </c>
      <c r="E118" s="163" t="s">
        <v>297</v>
      </c>
    </row>
    <row r="119" spans="2:10" x14ac:dyDescent="0.25">
      <c r="B119" s="164"/>
      <c r="C119" s="165" t="s">
        <v>287</v>
      </c>
      <c r="D119" s="166" t="s">
        <v>296</v>
      </c>
      <c r="E119" s="166" t="s">
        <v>298</v>
      </c>
    </row>
    <row r="120" spans="2:10" x14ac:dyDescent="0.25">
      <c r="B120" t="s">
        <v>294</v>
      </c>
      <c r="C120" s="161">
        <v>118165</v>
      </c>
      <c r="D120" s="163">
        <v>1143058229.8999999</v>
      </c>
      <c r="E120" s="167"/>
    </row>
    <row r="121" spans="2:10" x14ac:dyDescent="0.25">
      <c r="B121" t="s">
        <v>299</v>
      </c>
      <c r="C121" s="161">
        <v>2</v>
      </c>
      <c r="D121" s="163">
        <v>146531997</v>
      </c>
      <c r="E121" s="167"/>
    </row>
    <row r="122" spans="2:10" x14ac:dyDescent="0.25">
      <c r="B122" t="s">
        <v>300</v>
      </c>
      <c r="C122" s="161">
        <v>1</v>
      </c>
      <c r="D122" s="163">
        <v>25514052</v>
      </c>
      <c r="E122" s="167"/>
    </row>
    <row r="123" spans="2:10" x14ac:dyDescent="0.25">
      <c r="B123" t="s">
        <v>301</v>
      </c>
      <c r="C123">
        <v>1</v>
      </c>
      <c r="D123" s="77">
        <v>25514052</v>
      </c>
      <c r="E123" s="167"/>
    </row>
    <row r="124" spans="2:10" x14ac:dyDescent="0.25">
      <c r="B124" t="s">
        <v>329</v>
      </c>
      <c r="C124" s="161">
        <v>1</v>
      </c>
      <c r="D124" s="163">
        <v>121017945</v>
      </c>
      <c r="E124" s="167"/>
    </row>
    <row r="125" spans="2:10" x14ac:dyDescent="0.25">
      <c r="B125" t="s">
        <v>756</v>
      </c>
      <c r="C125">
        <v>1</v>
      </c>
      <c r="D125" s="77">
        <v>121017945</v>
      </c>
      <c r="E125" s="167"/>
    </row>
    <row r="126" spans="2:10" x14ac:dyDescent="0.25">
      <c r="B126" t="s">
        <v>302</v>
      </c>
      <c r="C126">
        <v>197</v>
      </c>
      <c r="D126" s="77">
        <v>219600981.69999999</v>
      </c>
      <c r="E126" s="167"/>
    </row>
    <row r="127" spans="2:10" x14ac:dyDescent="0.25">
      <c r="B127" t="s">
        <v>303</v>
      </c>
      <c r="C127" s="161">
        <v>3</v>
      </c>
      <c r="D127" s="163">
        <v>2917520</v>
      </c>
      <c r="E127" s="167"/>
    </row>
    <row r="128" spans="2:10" x14ac:dyDescent="0.25">
      <c r="B128" t="s">
        <v>757</v>
      </c>
      <c r="C128">
        <v>3</v>
      </c>
      <c r="D128" s="77">
        <v>2917520</v>
      </c>
      <c r="E128" s="167"/>
    </row>
    <row r="129" spans="2:5" x14ac:dyDescent="0.25">
      <c r="B129" t="s">
        <v>304</v>
      </c>
      <c r="C129" s="161">
        <v>1</v>
      </c>
      <c r="D129" s="163">
        <v>6575028.3899999997</v>
      </c>
      <c r="E129" s="167"/>
    </row>
    <row r="130" spans="2:5" x14ac:dyDescent="0.25">
      <c r="B130" t="s">
        <v>305</v>
      </c>
      <c r="C130">
        <v>1</v>
      </c>
      <c r="D130" s="77">
        <v>6575028.3899999997</v>
      </c>
      <c r="E130" s="167">
        <v>1011</v>
      </c>
    </row>
    <row r="131" spans="2:5" x14ac:dyDescent="0.25">
      <c r="B131" t="s">
        <v>306</v>
      </c>
      <c r="C131" s="161">
        <v>191</v>
      </c>
      <c r="D131" s="163">
        <v>196779074.94</v>
      </c>
      <c r="E131" s="167"/>
    </row>
    <row r="132" spans="2:5" x14ac:dyDescent="0.25">
      <c r="B132" t="s">
        <v>307</v>
      </c>
      <c r="C132" s="161">
        <v>1</v>
      </c>
      <c r="D132" s="163">
        <v>6583743.0700000003</v>
      </c>
      <c r="E132" s="167">
        <v>1012.34</v>
      </c>
    </row>
    <row r="133" spans="2:5" x14ac:dyDescent="0.25">
      <c r="B133" t="s">
        <v>308</v>
      </c>
      <c r="C133">
        <v>190</v>
      </c>
      <c r="D133" s="77">
        <v>190195332.22999999</v>
      </c>
      <c r="E133" s="167"/>
    </row>
    <row r="134" spans="2:5" x14ac:dyDescent="0.25">
      <c r="B134" t="s">
        <v>309</v>
      </c>
      <c r="C134" s="161">
        <v>2</v>
      </c>
      <c r="D134" s="163">
        <v>13329358.369999999</v>
      </c>
      <c r="E134" s="167"/>
    </row>
    <row r="135" spans="2:5" x14ac:dyDescent="0.25">
      <c r="B135" t="s">
        <v>310</v>
      </c>
      <c r="C135">
        <v>2</v>
      </c>
      <c r="D135" s="77">
        <v>13329358</v>
      </c>
      <c r="E135" s="167">
        <v>2049.5700000000002</v>
      </c>
    </row>
    <row r="136" spans="2:5" x14ac:dyDescent="0.25">
      <c r="B136" t="s">
        <v>311</v>
      </c>
      <c r="C136">
        <v>385</v>
      </c>
      <c r="D136" s="77">
        <v>539011730.67999995</v>
      </c>
      <c r="E136" s="167"/>
    </row>
    <row r="137" spans="2:5" x14ac:dyDescent="0.25">
      <c r="B137" t="s">
        <v>312</v>
      </c>
      <c r="C137" s="161">
        <v>15</v>
      </c>
      <c r="D137" s="163">
        <v>15262328.67</v>
      </c>
      <c r="E137" s="167"/>
    </row>
    <row r="138" spans="2:5" x14ac:dyDescent="0.25">
      <c r="B138" t="s">
        <v>313</v>
      </c>
      <c r="C138">
        <v>2</v>
      </c>
      <c r="D138" s="77">
        <v>2023314.67</v>
      </c>
      <c r="E138" s="167"/>
    </row>
    <row r="139" spans="2:5" x14ac:dyDescent="0.25">
      <c r="B139" t="s">
        <v>314</v>
      </c>
      <c r="C139">
        <v>13</v>
      </c>
      <c r="D139" s="77">
        <v>13239014</v>
      </c>
      <c r="E139" s="167"/>
    </row>
    <row r="140" spans="2:5" x14ac:dyDescent="0.25">
      <c r="B140" t="s">
        <v>315</v>
      </c>
      <c r="C140">
        <v>12</v>
      </c>
      <c r="D140" s="77">
        <v>12116642</v>
      </c>
      <c r="E140" s="167"/>
    </row>
    <row r="141" spans="2:5" x14ac:dyDescent="0.25">
      <c r="B141" t="s">
        <v>316</v>
      </c>
      <c r="C141">
        <v>2</v>
      </c>
      <c r="D141" s="77">
        <v>2039452</v>
      </c>
      <c r="E141" s="167"/>
    </row>
    <row r="142" spans="2:5" x14ac:dyDescent="0.25">
      <c r="B142" t="s">
        <v>758</v>
      </c>
      <c r="C142">
        <v>10</v>
      </c>
      <c r="D142" s="77">
        <v>10077190</v>
      </c>
      <c r="E142" s="167"/>
    </row>
    <row r="143" spans="2:5" x14ac:dyDescent="0.25">
      <c r="B143" t="s">
        <v>336</v>
      </c>
      <c r="C143">
        <v>23</v>
      </c>
      <c r="D143" s="77">
        <v>23192027</v>
      </c>
      <c r="E143" s="167"/>
    </row>
    <row r="144" spans="2:5" x14ac:dyDescent="0.25">
      <c r="B144" t="s">
        <v>759</v>
      </c>
      <c r="C144">
        <v>23</v>
      </c>
      <c r="D144" s="77">
        <v>23192027</v>
      </c>
      <c r="E144" s="167"/>
    </row>
    <row r="145" spans="2:5" x14ac:dyDescent="0.25">
      <c r="B145" t="s">
        <v>317</v>
      </c>
      <c r="C145">
        <v>17</v>
      </c>
      <c r="D145" s="77">
        <v>17073973</v>
      </c>
      <c r="E145" s="167"/>
    </row>
    <row r="146" spans="2:5" x14ac:dyDescent="0.25">
      <c r="B146" t="s">
        <v>760</v>
      </c>
      <c r="C146">
        <v>15</v>
      </c>
      <c r="D146" s="77">
        <v>15073973</v>
      </c>
      <c r="E146" s="167"/>
    </row>
    <row r="147" spans="2:5" x14ac:dyDescent="0.25">
      <c r="B147" t="s">
        <v>318</v>
      </c>
      <c r="C147">
        <v>2</v>
      </c>
      <c r="D147" s="77">
        <v>2000000</v>
      </c>
      <c r="E147" s="167"/>
    </row>
    <row r="148" spans="2:5" x14ac:dyDescent="0.25">
      <c r="B148" t="s">
        <v>319</v>
      </c>
      <c r="C148">
        <v>11</v>
      </c>
      <c r="D148" s="77">
        <v>71538390</v>
      </c>
      <c r="E148" s="167"/>
    </row>
    <row r="149" spans="2:5" x14ac:dyDescent="0.25">
      <c r="B149" t="s">
        <v>320</v>
      </c>
      <c r="C149">
        <v>11</v>
      </c>
      <c r="D149" s="77">
        <v>71538390</v>
      </c>
      <c r="E149" s="167">
        <v>11000</v>
      </c>
    </row>
    <row r="150" spans="2:5" x14ac:dyDescent="0.25">
      <c r="B150" t="s">
        <v>321</v>
      </c>
      <c r="C150">
        <v>9</v>
      </c>
      <c r="D150" s="77">
        <v>59136234.57</v>
      </c>
      <c r="E150" s="167"/>
    </row>
    <row r="151" spans="2:5" x14ac:dyDescent="0.25">
      <c r="B151" t="s">
        <v>322</v>
      </c>
      <c r="C151">
        <v>9</v>
      </c>
      <c r="D151" s="77">
        <v>59136234.57</v>
      </c>
      <c r="E151" s="167">
        <v>9093</v>
      </c>
    </row>
    <row r="152" spans="2:5" x14ac:dyDescent="0.25">
      <c r="B152" t="s">
        <v>323</v>
      </c>
      <c r="C152">
        <v>7</v>
      </c>
      <c r="D152" s="77">
        <v>40505154.359999999</v>
      </c>
      <c r="E152" s="167"/>
    </row>
    <row r="153" spans="2:5" x14ac:dyDescent="0.25">
      <c r="B153" t="s">
        <v>324</v>
      </c>
      <c r="C153">
        <v>1</v>
      </c>
      <c r="D153" s="77">
        <v>1011150.5</v>
      </c>
      <c r="E153" s="167"/>
    </row>
    <row r="154" spans="2:5" x14ac:dyDescent="0.25">
      <c r="B154" t="s">
        <v>325</v>
      </c>
      <c r="C154">
        <v>6</v>
      </c>
      <c r="D154" s="77">
        <v>39494003.859999999</v>
      </c>
      <c r="E154" s="167">
        <v>6072.74</v>
      </c>
    </row>
    <row r="155" spans="2:5" x14ac:dyDescent="0.25">
      <c r="B155" t="s">
        <v>326</v>
      </c>
      <c r="C155">
        <v>1</v>
      </c>
      <c r="D155" s="77">
        <v>1008192</v>
      </c>
      <c r="E155" s="167"/>
    </row>
    <row r="156" spans="2:5" x14ac:dyDescent="0.25">
      <c r="B156" t="s">
        <v>327</v>
      </c>
      <c r="C156">
        <v>1</v>
      </c>
      <c r="D156" s="77">
        <v>1008192</v>
      </c>
      <c r="E156" s="167"/>
    </row>
    <row r="157" spans="2:5" x14ac:dyDescent="0.25">
      <c r="B157" t="s">
        <v>328</v>
      </c>
      <c r="C157" s="161">
        <v>290</v>
      </c>
      <c r="D157" s="163">
        <v>299178789.97000003</v>
      </c>
      <c r="E157" s="167"/>
    </row>
    <row r="158" spans="2:5" x14ac:dyDescent="0.25">
      <c r="B158" t="s">
        <v>761</v>
      </c>
      <c r="C158" s="161">
        <v>290</v>
      </c>
      <c r="D158" s="163">
        <v>299178790</v>
      </c>
      <c r="E158" s="167"/>
    </row>
    <row r="159" spans="2:5" x14ac:dyDescent="0.25">
      <c r="B159" t="s">
        <v>330</v>
      </c>
      <c r="C159" s="161">
        <v>26</v>
      </c>
      <c r="D159" s="163">
        <v>51467189.090000004</v>
      </c>
      <c r="E159" s="167">
        <v>0</v>
      </c>
    </row>
    <row r="160" spans="2:5" x14ac:dyDescent="0.25">
      <c r="B160" t="s">
        <v>317</v>
      </c>
      <c r="C160" s="161">
        <v>11</v>
      </c>
      <c r="D160" s="163">
        <v>4758075.0199999996</v>
      </c>
      <c r="E160" s="167"/>
    </row>
    <row r="161" spans="2:5" x14ac:dyDescent="0.25">
      <c r="B161" t="s">
        <v>331</v>
      </c>
      <c r="C161" s="161">
        <v>11</v>
      </c>
      <c r="D161" s="163">
        <v>4758075.0199999996</v>
      </c>
      <c r="E161" s="167"/>
    </row>
    <row r="162" spans="2:5" x14ac:dyDescent="0.25">
      <c r="B162" t="s">
        <v>762</v>
      </c>
      <c r="C162" s="161">
        <v>1</v>
      </c>
      <c r="D162" s="163">
        <v>14480748.59</v>
      </c>
      <c r="E162" s="167"/>
    </row>
    <row r="163" spans="2:5" x14ac:dyDescent="0.25">
      <c r="B163" t="s">
        <v>763</v>
      </c>
      <c r="C163" s="161">
        <v>1</v>
      </c>
      <c r="D163" s="163">
        <v>14480748.59</v>
      </c>
      <c r="E163" s="167"/>
    </row>
    <row r="164" spans="2:5" x14ac:dyDescent="0.25">
      <c r="B164" t="s">
        <v>764</v>
      </c>
      <c r="C164" s="161">
        <v>8</v>
      </c>
      <c r="D164" s="163">
        <v>34977193.729999997</v>
      </c>
      <c r="E164" s="167"/>
    </row>
    <row r="165" spans="2:5" x14ac:dyDescent="0.25">
      <c r="B165" t="s">
        <v>334</v>
      </c>
      <c r="C165">
        <v>8</v>
      </c>
      <c r="D165" s="77">
        <v>34977193.729999997</v>
      </c>
      <c r="E165" s="167"/>
    </row>
    <row r="166" spans="2:5" x14ac:dyDescent="0.25">
      <c r="B166" t="s">
        <v>765</v>
      </c>
      <c r="C166" s="161">
        <v>6</v>
      </c>
      <c r="D166" s="163">
        <v>7631366.2800000003</v>
      </c>
      <c r="E166" s="167"/>
    </row>
    <row r="167" spans="2:5" x14ac:dyDescent="0.25">
      <c r="B167" t="s">
        <v>763</v>
      </c>
      <c r="C167" s="161">
        <v>6</v>
      </c>
      <c r="D167" s="163">
        <v>7631366.2800000003</v>
      </c>
      <c r="E167" s="167"/>
    </row>
    <row r="168" spans="2:5" x14ac:dyDescent="0.25">
      <c r="B168" t="s">
        <v>332</v>
      </c>
      <c r="C168">
        <v>381</v>
      </c>
      <c r="D168" s="399">
        <v>47185544.439999998</v>
      </c>
      <c r="E168" s="167"/>
    </row>
    <row r="169" spans="2:5" x14ac:dyDescent="0.25">
      <c r="B169" t="s">
        <v>333</v>
      </c>
      <c r="C169">
        <v>381</v>
      </c>
      <c r="D169" s="77">
        <v>47185544.439999998</v>
      </c>
      <c r="E169" s="167"/>
    </row>
    <row r="170" spans="2:5" x14ac:dyDescent="0.25">
      <c r="B170" t="s">
        <v>763</v>
      </c>
      <c r="C170">
        <v>275</v>
      </c>
      <c r="D170" s="77">
        <v>34057807.666666664</v>
      </c>
      <c r="E170" s="167"/>
    </row>
    <row r="171" spans="2:5" x14ac:dyDescent="0.25">
      <c r="B171" t="s">
        <v>334</v>
      </c>
      <c r="C171">
        <v>106</v>
      </c>
      <c r="D171" s="77">
        <v>13127736.773333332</v>
      </c>
      <c r="E171" s="167"/>
    </row>
    <row r="172" spans="2:5" x14ac:dyDescent="0.25">
      <c r="B172" t="s">
        <v>335</v>
      </c>
      <c r="C172">
        <v>117015</v>
      </c>
      <c r="D172" s="77">
        <v>123360786.98999999</v>
      </c>
      <c r="E172" s="167"/>
    </row>
    <row r="173" spans="2:5" x14ac:dyDescent="0.25">
      <c r="B173" t="s">
        <v>336</v>
      </c>
      <c r="C173">
        <v>4</v>
      </c>
      <c r="D173" s="77">
        <v>1705186.99</v>
      </c>
      <c r="E173" s="167"/>
    </row>
    <row r="174" spans="2:5" x14ac:dyDescent="0.25">
      <c r="B174" t="s">
        <v>337</v>
      </c>
      <c r="C174">
        <v>4</v>
      </c>
      <c r="D174" s="77">
        <v>1705186.99</v>
      </c>
      <c r="E174" s="167"/>
    </row>
    <row r="175" spans="2:5" x14ac:dyDescent="0.25">
      <c r="B175" t="s">
        <v>306</v>
      </c>
      <c r="C175">
        <v>8519</v>
      </c>
      <c r="D175" s="77">
        <v>8639000</v>
      </c>
      <c r="E175" s="167"/>
    </row>
    <row r="176" spans="2:5" x14ac:dyDescent="0.25">
      <c r="B176" t="s">
        <v>338</v>
      </c>
      <c r="C176">
        <v>8519</v>
      </c>
      <c r="D176" s="77">
        <v>8639000</v>
      </c>
      <c r="E176" s="167"/>
    </row>
    <row r="177" spans="2:6" x14ac:dyDescent="0.25">
      <c r="B177" t="s">
        <v>309</v>
      </c>
      <c r="C177">
        <v>108492</v>
      </c>
      <c r="D177" s="77">
        <v>113016600</v>
      </c>
      <c r="E177" s="167"/>
    </row>
    <row r="178" spans="2:6" x14ac:dyDescent="0.25">
      <c r="B178" t="s">
        <v>766</v>
      </c>
      <c r="C178">
        <v>108492</v>
      </c>
      <c r="D178" s="77">
        <v>113016600</v>
      </c>
      <c r="E178" s="167"/>
    </row>
    <row r="179" spans="2:6" x14ac:dyDescent="0.25">
      <c r="B179" t="s">
        <v>339</v>
      </c>
      <c r="C179">
        <v>159</v>
      </c>
      <c r="D179" s="77">
        <v>15900000</v>
      </c>
      <c r="E179" s="167"/>
    </row>
    <row r="180" spans="2:6" x14ac:dyDescent="0.25">
      <c r="B180" t="s">
        <v>340</v>
      </c>
      <c r="C180">
        <v>159</v>
      </c>
      <c r="D180" s="77">
        <v>15900000</v>
      </c>
      <c r="E180" s="167"/>
    </row>
    <row r="181" spans="2:6" x14ac:dyDescent="0.25">
      <c r="B181" t="s">
        <v>341</v>
      </c>
      <c r="C181">
        <v>159</v>
      </c>
      <c r="D181" s="77">
        <v>15900000</v>
      </c>
      <c r="E181" s="167"/>
    </row>
    <row r="182" spans="2:6" x14ac:dyDescent="0.25">
      <c r="D182" s="77"/>
      <c r="E182" s="167"/>
    </row>
    <row r="183" spans="2:6" x14ac:dyDescent="0.25">
      <c r="B183" s="164" t="s">
        <v>342</v>
      </c>
      <c r="C183" s="166">
        <f>+C121+C126+C136+C159</f>
        <v>610</v>
      </c>
      <c r="D183" s="166">
        <f>+D121+D126+D136+D159</f>
        <v>956611898.46999991</v>
      </c>
    </row>
    <row r="184" spans="2:6" x14ac:dyDescent="0.25">
      <c r="B184" s="164" t="s">
        <v>343</v>
      </c>
      <c r="C184" s="166">
        <f>+C168+C172+C179</f>
        <v>117555</v>
      </c>
      <c r="D184" s="166">
        <f>+D168+D172+D179</f>
        <v>186446331.43000001</v>
      </c>
      <c r="E184" s="168"/>
    </row>
    <row r="189" spans="2:6" x14ac:dyDescent="0.25">
      <c r="B189" s="122" t="s">
        <v>344</v>
      </c>
      <c r="C189" s="123"/>
      <c r="D189" s="123"/>
      <c r="E189" s="123"/>
      <c r="F189" s="123"/>
    </row>
    <row r="190" spans="2:6" x14ac:dyDescent="0.25">
      <c r="B190" s="409" t="s">
        <v>267</v>
      </c>
      <c r="C190" s="409"/>
      <c r="D190" s="409"/>
      <c r="E190" s="409"/>
      <c r="F190" s="409"/>
    </row>
    <row r="191" spans="2:6" x14ac:dyDescent="0.25">
      <c r="B191" s="169"/>
      <c r="C191" s="123"/>
      <c r="D191" s="123"/>
      <c r="E191" s="123"/>
      <c r="F191" s="123"/>
    </row>
    <row r="192" spans="2:6" ht="15" customHeight="1" x14ac:dyDescent="0.25">
      <c r="B192" s="416" t="s">
        <v>345</v>
      </c>
      <c r="C192" s="416"/>
      <c r="D192" s="123"/>
      <c r="E192" s="123"/>
      <c r="F192" s="123"/>
    </row>
    <row r="193" spans="2:5" x14ac:dyDescent="0.25">
      <c r="B193" s="417" t="s">
        <v>243</v>
      </c>
      <c r="C193" s="417" t="s">
        <v>253</v>
      </c>
      <c r="D193" s="417" t="s">
        <v>346</v>
      </c>
    </row>
    <row r="194" spans="2:5" ht="6" customHeight="1" x14ac:dyDescent="0.25">
      <c r="B194" s="417"/>
      <c r="C194" s="417"/>
      <c r="D194" s="417"/>
    </row>
    <row r="195" spans="2:5" x14ac:dyDescent="0.25">
      <c r="B195" s="170" t="s">
        <v>347</v>
      </c>
      <c r="C195" s="171">
        <v>0</v>
      </c>
      <c r="D195" s="171">
        <v>0</v>
      </c>
    </row>
    <row r="196" spans="2:5" x14ac:dyDescent="0.25">
      <c r="B196" s="170" t="s">
        <v>348</v>
      </c>
      <c r="C196" s="72">
        <v>12004000</v>
      </c>
      <c r="D196" s="72">
        <v>11678000</v>
      </c>
      <c r="E196" s="172"/>
    </row>
    <row r="197" spans="2:5" x14ac:dyDescent="0.25">
      <c r="B197" s="173" t="s">
        <v>349</v>
      </c>
      <c r="C197" s="174">
        <f>SUM(C195:C196)</f>
        <v>12004000</v>
      </c>
      <c r="D197" s="174">
        <f>+D196+D195</f>
        <v>11678000</v>
      </c>
    </row>
    <row r="199" spans="2:5" x14ac:dyDescent="0.25">
      <c r="B199" s="122" t="s">
        <v>350</v>
      </c>
    </row>
    <row r="200" spans="2:5" x14ac:dyDescent="0.25">
      <c r="B200" s="418" t="s">
        <v>351</v>
      </c>
      <c r="C200" s="418" t="s">
        <v>253</v>
      </c>
      <c r="D200" s="418" t="s">
        <v>346</v>
      </c>
    </row>
    <row r="201" spans="2:5" x14ac:dyDescent="0.25">
      <c r="B201" s="418"/>
      <c r="C201" s="418"/>
      <c r="D201" s="418"/>
    </row>
    <row r="202" spans="2:5" ht="15.75" customHeight="1" x14ac:dyDescent="0.25">
      <c r="B202" s="175" t="s">
        <v>352</v>
      </c>
      <c r="C202" s="176">
        <v>27859436.390000001</v>
      </c>
      <c r="D202" s="176">
        <v>10114930.390000001</v>
      </c>
    </row>
    <row r="203" spans="2:5" ht="15.75" customHeight="1" x14ac:dyDescent="0.25">
      <c r="B203" s="175" t="s">
        <v>353</v>
      </c>
      <c r="C203" s="176">
        <v>0</v>
      </c>
      <c r="D203" s="176">
        <v>0</v>
      </c>
    </row>
    <row r="204" spans="2:5" ht="15.75" customHeight="1" x14ac:dyDescent="0.25">
      <c r="B204" s="177" t="s">
        <v>349</v>
      </c>
      <c r="C204" s="178">
        <f>SUM(C202:C203)</f>
        <v>27859436.390000001</v>
      </c>
      <c r="D204" s="178">
        <f>SUM(D202:D203)</f>
        <v>10114930.390000001</v>
      </c>
    </row>
    <row r="205" spans="2:5" ht="15.75" customHeight="1" x14ac:dyDescent="0.25">
      <c r="B205" s="179"/>
      <c r="C205" s="180"/>
      <c r="D205" s="180"/>
    </row>
    <row r="206" spans="2:5" ht="15.75" customHeight="1" x14ac:dyDescent="0.25">
      <c r="B206" s="179"/>
      <c r="C206" s="180"/>
      <c r="D206" s="180"/>
    </row>
    <row r="207" spans="2:5" x14ac:dyDescent="0.25">
      <c r="B207" s="122" t="s">
        <v>354</v>
      </c>
    </row>
    <row r="208" spans="2:5" x14ac:dyDescent="0.25">
      <c r="B208" s="418" t="s">
        <v>351</v>
      </c>
      <c r="C208" s="418" t="s">
        <v>253</v>
      </c>
      <c r="D208" s="418" t="s">
        <v>346</v>
      </c>
    </row>
    <row r="209" spans="2:13" x14ac:dyDescent="0.25">
      <c r="B209" s="418"/>
      <c r="C209" s="418"/>
      <c r="D209" s="418"/>
    </row>
    <row r="210" spans="2:13" ht="15.75" customHeight="1" x14ac:dyDescent="0.25">
      <c r="B210" s="175" t="s">
        <v>770</v>
      </c>
      <c r="C210" s="181">
        <v>519098012</v>
      </c>
      <c r="D210" s="181">
        <v>396056952.71279997</v>
      </c>
    </row>
    <row r="211" spans="2:13" ht="15.75" customHeight="1" x14ac:dyDescent="0.25">
      <c r="B211" s="175" t="s">
        <v>771</v>
      </c>
      <c r="C211" s="181">
        <v>369436135.69</v>
      </c>
      <c r="D211" s="181">
        <v>0</v>
      </c>
    </row>
    <row r="212" spans="2:13" ht="15.75" customHeight="1" x14ac:dyDescent="0.25">
      <c r="B212" s="177" t="s">
        <v>349</v>
      </c>
      <c r="C212" s="182">
        <f>SUM(C210:C211)</f>
        <v>888534147.69000006</v>
      </c>
      <c r="D212" s="178">
        <f>SUM(D210:D211)</f>
        <v>396056952.71279997</v>
      </c>
    </row>
    <row r="213" spans="2:13" ht="15.75" customHeight="1" x14ac:dyDescent="0.25">
      <c r="B213" s="179"/>
      <c r="C213" s="180"/>
      <c r="D213" s="180"/>
    </row>
    <row r="214" spans="2:13" ht="15.75" customHeight="1" x14ac:dyDescent="0.25">
      <c r="B214" s="179"/>
      <c r="C214" s="180"/>
      <c r="D214" s="180">
        <v>0</v>
      </c>
    </row>
    <row r="217" spans="2:13" x14ac:dyDescent="0.25">
      <c r="B217" s="122" t="s">
        <v>358</v>
      </c>
    </row>
    <row r="218" spans="2:13" ht="15" customHeight="1" x14ac:dyDescent="0.25">
      <c r="B218" s="411" t="s">
        <v>359</v>
      </c>
      <c r="C218" s="411" t="s">
        <v>360</v>
      </c>
      <c r="D218" s="411"/>
      <c r="E218" s="411"/>
      <c r="F218" s="411"/>
      <c r="G218" s="411"/>
      <c r="H218" s="411" t="s">
        <v>361</v>
      </c>
      <c r="I218" s="411"/>
      <c r="J218" s="411"/>
      <c r="K218" s="411"/>
      <c r="L218" s="411"/>
      <c r="M218" s="411"/>
    </row>
    <row r="219" spans="2:13" ht="15" customHeight="1" x14ac:dyDescent="0.25">
      <c r="B219" s="411"/>
      <c r="C219" s="411" t="s">
        <v>362</v>
      </c>
      <c r="D219" s="411" t="s">
        <v>363</v>
      </c>
      <c r="E219" s="411" t="s">
        <v>364</v>
      </c>
      <c r="F219" s="411" t="s">
        <v>365</v>
      </c>
      <c r="G219" s="411" t="s">
        <v>366</v>
      </c>
      <c r="H219" s="411" t="s">
        <v>367</v>
      </c>
      <c r="I219" s="411" t="s">
        <v>363</v>
      </c>
      <c r="J219" s="411" t="s">
        <v>364</v>
      </c>
      <c r="K219" s="411" t="s">
        <v>368</v>
      </c>
      <c r="L219" s="411" t="s">
        <v>369</v>
      </c>
      <c r="M219" s="411" t="s">
        <v>370</v>
      </c>
    </row>
    <row r="220" spans="2:13" x14ac:dyDescent="0.25">
      <c r="B220" s="411"/>
      <c r="C220" s="411"/>
      <c r="D220" s="411"/>
      <c r="E220" s="411"/>
      <c r="F220" s="411"/>
      <c r="G220" s="411"/>
      <c r="H220" s="411"/>
      <c r="I220" s="411"/>
      <c r="J220" s="411"/>
      <c r="K220" s="411"/>
      <c r="L220" s="411"/>
      <c r="M220" s="411"/>
    </row>
    <row r="221" spans="2:13" x14ac:dyDescent="0.25">
      <c r="B221" s="411"/>
      <c r="C221" s="411"/>
      <c r="D221" s="411"/>
      <c r="E221" s="411"/>
      <c r="F221" s="411"/>
      <c r="G221" s="411"/>
      <c r="H221" s="411"/>
      <c r="I221" s="411"/>
      <c r="J221" s="411"/>
      <c r="K221" s="411"/>
      <c r="L221" s="411"/>
      <c r="M221" s="411"/>
    </row>
    <row r="222" spans="2:13" x14ac:dyDescent="0.25">
      <c r="B222" s="183" t="s">
        <v>371</v>
      </c>
      <c r="C222" s="184">
        <v>122843296.63</v>
      </c>
      <c r="D222" s="184">
        <v>2112726.8200000077</v>
      </c>
      <c r="E222" s="184">
        <v>0</v>
      </c>
      <c r="F222" s="184">
        <v>0</v>
      </c>
      <c r="G222" s="185">
        <f>+D222+C222</f>
        <v>124956023.45</v>
      </c>
      <c r="H222" s="184">
        <v>101764270.18152601</v>
      </c>
      <c r="I222" s="184">
        <v>0</v>
      </c>
      <c r="J222" s="184">
        <v>0</v>
      </c>
      <c r="K222" s="184">
        <v>0</v>
      </c>
      <c r="L222" s="184">
        <f>SUM(H222:K222)</f>
        <v>101764270.18152601</v>
      </c>
      <c r="M222" s="184">
        <f>+G222-L222</f>
        <v>23191753.268473998</v>
      </c>
    </row>
    <row r="223" spans="2:13" x14ac:dyDescent="0.25">
      <c r="B223" s="183" t="s">
        <v>372</v>
      </c>
      <c r="C223" s="184">
        <v>175068260.74000001</v>
      </c>
      <c r="D223" s="184">
        <v>2726363.6399999857</v>
      </c>
      <c r="E223" s="184">
        <v>0</v>
      </c>
      <c r="F223" s="184">
        <v>0</v>
      </c>
      <c r="G223" s="185">
        <f>SUM(C223:F223)</f>
        <v>177794624.38</v>
      </c>
      <c r="H223" s="184">
        <v>155258340</v>
      </c>
      <c r="I223" s="184">
        <v>0</v>
      </c>
      <c r="J223" s="184">
        <v>0</v>
      </c>
      <c r="K223" s="184">
        <v>0</v>
      </c>
      <c r="L223" s="184">
        <f>SUM(H223:K223)</f>
        <v>155258340</v>
      </c>
      <c r="M223" s="184">
        <f>+G223-L223</f>
        <v>22536284.379999995</v>
      </c>
    </row>
    <row r="224" spans="2:13" x14ac:dyDescent="0.25">
      <c r="B224" s="183" t="s">
        <v>373</v>
      </c>
      <c r="C224" s="184">
        <v>0</v>
      </c>
      <c r="D224" s="184">
        <v>0</v>
      </c>
      <c r="E224" s="184">
        <f>-C224</f>
        <v>0</v>
      </c>
      <c r="F224" s="184">
        <v>0</v>
      </c>
      <c r="G224" s="184">
        <f>SUM(C224:F224)</f>
        <v>0</v>
      </c>
      <c r="H224" s="184">
        <v>0</v>
      </c>
      <c r="I224" s="184">
        <v>0</v>
      </c>
      <c r="J224" s="184">
        <f>-H224</f>
        <v>0</v>
      </c>
      <c r="K224" s="184">
        <v>0</v>
      </c>
      <c r="L224" s="184">
        <f>SUM(H224:K224)</f>
        <v>0</v>
      </c>
      <c r="M224" s="184">
        <f>+G224-L224</f>
        <v>0</v>
      </c>
    </row>
    <row r="225" spans="2:13" x14ac:dyDescent="0.25">
      <c r="B225" s="186" t="s">
        <v>374</v>
      </c>
      <c r="C225" s="187">
        <f t="shared" ref="C225:L225" si="0">SUM(C222:C224)</f>
        <v>297911557.37</v>
      </c>
      <c r="D225" s="187">
        <f t="shared" si="0"/>
        <v>4839090.4599999934</v>
      </c>
      <c r="E225" s="187">
        <f t="shared" si="0"/>
        <v>0</v>
      </c>
      <c r="F225" s="187">
        <f t="shared" si="0"/>
        <v>0</v>
      </c>
      <c r="G225" s="187">
        <f t="shared" si="0"/>
        <v>302750647.82999998</v>
      </c>
      <c r="H225" s="187">
        <f t="shared" si="0"/>
        <v>257022610.18152601</v>
      </c>
      <c r="I225" s="187">
        <f t="shared" si="0"/>
        <v>0</v>
      </c>
      <c r="J225" s="187">
        <f t="shared" si="0"/>
        <v>0</v>
      </c>
      <c r="K225" s="187">
        <f t="shared" si="0"/>
        <v>0</v>
      </c>
      <c r="L225" s="187">
        <f t="shared" si="0"/>
        <v>257022610.18152601</v>
      </c>
      <c r="M225" s="188">
        <f>+G225-L225</f>
        <v>45728037.648473978</v>
      </c>
    </row>
    <row r="226" spans="2:13" x14ac:dyDescent="0.25">
      <c r="B226" s="186" t="s">
        <v>375</v>
      </c>
      <c r="C226" s="187">
        <v>282918512.55000001</v>
      </c>
      <c r="D226" s="187">
        <v>14993044.82</v>
      </c>
      <c r="E226" s="187">
        <v>0</v>
      </c>
      <c r="F226" s="187">
        <v>0</v>
      </c>
      <c r="G226" s="187">
        <v>297911557.37</v>
      </c>
      <c r="H226" s="187">
        <v>242780512</v>
      </c>
      <c r="I226" s="187">
        <v>0</v>
      </c>
      <c r="J226" s="187">
        <v>14242098.1815264</v>
      </c>
      <c r="K226" s="187">
        <v>0</v>
      </c>
      <c r="L226" s="187">
        <v>257022610.18152601</v>
      </c>
      <c r="M226" s="187">
        <v>40888947.188473597</v>
      </c>
    </row>
    <row r="228" spans="2:13" x14ac:dyDescent="0.25">
      <c r="H228" s="77"/>
    </row>
    <row r="229" spans="2:13" x14ac:dyDescent="0.25">
      <c r="B229" s="189" t="s">
        <v>376</v>
      </c>
    </row>
    <row r="230" spans="2:13" x14ac:dyDescent="0.25">
      <c r="B230" s="161"/>
    </row>
    <row r="231" spans="2:13" x14ac:dyDescent="0.25">
      <c r="B231" s="410" t="s">
        <v>351</v>
      </c>
      <c r="C231" s="410" t="s">
        <v>253</v>
      </c>
      <c r="D231" s="410" t="s">
        <v>346</v>
      </c>
    </row>
    <row r="232" spans="2:13" ht="9" customHeight="1" x14ac:dyDescent="0.25">
      <c r="B232" s="410"/>
      <c r="C232" s="410"/>
      <c r="D232" s="410"/>
    </row>
    <row r="233" spans="2:13" ht="15.75" customHeight="1" x14ac:dyDescent="0.25">
      <c r="B233" s="175" t="s">
        <v>377</v>
      </c>
      <c r="C233" s="176">
        <v>0</v>
      </c>
      <c r="D233" s="176">
        <v>0</v>
      </c>
      <c r="E233" s="190">
        <v>15</v>
      </c>
    </row>
    <row r="234" spans="2:13" ht="15.75" customHeight="1" x14ac:dyDescent="0.25">
      <c r="B234" s="175" t="s">
        <v>377</v>
      </c>
      <c r="C234" s="176">
        <v>0</v>
      </c>
      <c r="D234" s="176">
        <v>0</v>
      </c>
      <c r="E234" s="190"/>
    </row>
    <row r="235" spans="2:13" ht="15.75" customHeight="1" x14ac:dyDescent="0.25">
      <c r="B235" s="175"/>
      <c r="C235" s="176">
        <f>SUM(C233:C234)</f>
        <v>0</v>
      </c>
      <c r="D235" s="176">
        <f>SUM(D233:D234)</f>
        <v>0</v>
      </c>
      <c r="E235" s="190"/>
    </row>
    <row r="236" spans="2:13" ht="15" customHeight="1" x14ac:dyDescent="0.25">
      <c r="B236" s="120"/>
    </row>
    <row r="237" spans="2:13" ht="15.75" customHeight="1" x14ac:dyDescent="0.25"/>
    <row r="241" spans="2:6" x14ac:dyDescent="0.25">
      <c r="B241" s="189" t="s">
        <v>378</v>
      </c>
    </row>
    <row r="242" spans="2:6" ht="8.25" customHeight="1" x14ac:dyDescent="0.25"/>
    <row r="243" spans="2:6" ht="15" customHeight="1" x14ac:dyDescent="0.25">
      <c r="B243" s="419" t="s">
        <v>243</v>
      </c>
      <c r="C243" s="191" t="s">
        <v>379</v>
      </c>
      <c r="D243" s="191"/>
      <c r="E243" s="191"/>
      <c r="F243" s="191" t="s">
        <v>379</v>
      </c>
    </row>
    <row r="244" spans="2:6" x14ac:dyDescent="0.25">
      <c r="B244" s="419"/>
      <c r="C244" s="191" t="s">
        <v>380</v>
      </c>
      <c r="D244" s="191" t="s">
        <v>381</v>
      </c>
      <c r="E244" s="191" t="s">
        <v>382</v>
      </c>
      <c r="F244" s="191" t="s">
        <v>383</v>
      </c>
    </row>
    <row r="245" spans="2:6" x14ac:dyDescent="0.25">
      <c r="B245" s="124" t="s">
        <v>384</v>
      </c>
      <c r="C245" s="154">
        <v>113699411.2</v>
      </c>
      <c r="D245" s="154">
        <v>0</v>
      </c>
      <c r="E245" s="86">
        <v>0</v>
      </c>
      <c r="F245" s="154">
        <f>SUM(C245:E245)</f>
        <v>113699411.2</v>
      </c>
    </row>
    <row r="246" spans="2:6" x14ac:dyDescent="0.25">
      <c r="B246" s="83" t="s">
        <v>385</v>
      </c>
      <c r="C246" s="86">
        <f>SUM(C245)</f>
        <v>113699411.2</v>
      </c>
      <c r="D246" s="86">
        <f>SUM(D245)</f>
        <v>0</v>
      </c>
      <c r="E246" s="86">
        <f>SUM(E245)</f>
        <v>0</v>
      </c>
      <c r="F246" s="86">
        <f>SUM(F245)</f>
        <v>113699411.2</v>
      </c>
    </row>
    <row r="247" spans="2:6" x14ac:dyDescent="0.25">
      <c r="B247" s="124" t="s">
        <v>386</v>
      </c>
      <c r="C247" s="154">
        <v>117588015.59999999</v>
      </c>
      <c r="D247" s="192">
        <v>58041960.399999999</v>
      </c>
      <c r="E247" s="154">
        <v>-61930564.799999997</v>
      </c>
      <c r="F247" s="154">
        <v>113699411.2</v>
      </c>
    </row>
    <row r="249" spans="2:6" x14ac:dyDescent="0.25">
      <c r="B249" s="189" t="s">
        <v>387</v>
      </c>
      <c r="C249" s="123"/>
      <c r="D249" s="123"/>
      <c r="E249" s="123"/>
      <c r="F249" s="123"/>
    </row>
    <row r="250" spans="2:6" ht="15" customHeight="1" x14ac:dyDescent="0.25">
      <c r="B250" s="404" t="s">
        <v>267</v>
      </c>
      <c r="C250" s="404"/>
      <c r="D250" s="404"/>
      <c r="E250" s="404"/>
      <c r="F250" s="404"/>
    </row>
    <row r="251" spans="2:6" x14ac:dyDescent="0.25">
      <c r="B251" s="123"/>
      <c r="C251" s="123"/>
      <c r="D251" s="123"/>
      <c r="E251" s="123"/>
      <c r="F251" s="123"/>
    </row>
    <row r="252" spans="2:6" x14ac:dyDescent="0.25">
      <c r="B252" s="408" t="s">
        <v>388</v>
      </c>
      <c r="C252" s="408"/>
      <c r="D252" s="408"/>
      <c r="E252" s="408"/>
      <c r="F252" s="123"/>
    </row>
    <row r="253" spans="2:6" ht="11.25" customHeight="1" x14ac:dyDescent="0.25"/>
    <row r="254" spans="2:6" x14ac:dyDescent="0.25">
      <c r="B254" s="7" t="s">
        <v>389</v>
      </c>
      <c r="C254" s="7" t="s">
        <v>253</v>
      </c>
      <c r="D254" s="7" t="s">
        <v>346</v>
      </c>
    </row>
    <row r="255" spans="2:6" x14ac:dyDescent="0.25">
      <c r="B255" s="145" t="s">
        <v>390</v>
      </c>
      <c r="C255" s="193">
        <v>19160104</v>
      </c>
      <c r="D255" s="193">
        <v>19160104</v>
      </c>
      <c r="E255" s="190"/>
      <c r="F255" s="194"/>
    </row>
    <row r="256" spans="2:6" x14ac:dyDescent="0.25">
      <c r="B256" s="145" t="s">
        <v>391</v>
      </c>
      <c r="C256" s="193">
        <v>954316</v>
      </c>
      <c r="D256" s="193">
        <v>0</v>
      </c>
      <c r="E256" s="190"/>
      <c r="F256" s="194"/>
    </row>
    <row r="257" spans="2:6" x14ac:dyDescent="0.25">
      <c r="B257" s="145" t="s">
        <v>392</v>
      </c>
      <c r="C257" s="193">
        <v>20151286.91</v>
      </c>
      <c r="D257" s="193">
        <v>9665072.8399999999</v>
      </c>
      <c r="E257" s="190"/>
      <c r="F257" s="194"/>
    </row>
    <row r="258" spans="2:6" x14ac:dyDescent="0.25">
      <c r="B258" s="145" t="s">
        <v>393</v>
      </c>
      <c r="C258" s="193">
        <v>0</v>
      </c>
      <c r="D258" s="193">
        <v>0</v>
      </c>
      <c r="E258" s="190"/>
      <c r="F258" s="194"/>
    </row>
    <row r="259" spans="2:6" x14ac:dyDescent="0.25">
      <c r="B259" s="145" t="s">
        <v>394</v>
      </c>
      <c r="C259" s="193">
        <v>76154142.180000007</v>
      </c>
      <c r="D259" s="193">
        <v>0</v>
      </c>
      <c r="E259" s="190"/>
      <c r="F259" s="194"/>
    </row>
    <row r="260" spans="2:6" x14ac:dyDescent="0.25">
      <c r="B260" s="145" t="s">
        <v>395</v>
      </c>
      <c r="C260" s="193">
        <v>4319793.2699999996</v>
      </c>
      <c r="D260" s="193">
        <v>5497918.7400000002</v>
      </c>
      <c r="E260" s="190"/>
      <c r="F260" s="194"/>
    </row>
    <row r="261" spans="2:6" x14ac:dyDescent="0.25">
      <c r="B261" s="145" t="s">
        <v>396</v>
      </c>
      <c r="C261" s="193">
        <v>33075820</v>
      </c>
      <c r="D261" s="193">
        <v>33075820</v>
      </c>
      <c r="E261" s="190"/>
      <c r="F261" s="194"/>
    </row>
    <row r="262" spans="2:6" x14ac:dyDescent="0.25">
      <c r="B262" s="145" t="s">
        <v>397</v>
      </c>
      <c r="C262" s="193"/>
      <c r="D262" s="193">
        <v>0</v>
      </c>
      <c r="E262" s="190"/>
      <c r="F262" s="194"/>
    </row>
    <row r="263" spans="2:6" x14ac:dyDescent="0.25">
      <c r="B263" s="145" t="s">
        <v>398</v>
      </c>
      <c r="C263" s="193">
        <v>574021</v>
      </c>
      <c r="D263" s="193">
        <v>574021</v>
      </c>
      <c r="E263" s="190"/>
      <c r="F263" s="194"/>
    </row>
    <row r="264" spans="2:6" x14ac:dyDescent="0.25">
      <c r="B264" s="145" t="s">
        <v>399</v>
      </c>
      <c r="C264" s="193">
        <v>7173212.7800000003</v>
      </c>
      <c r="D264" s="193">
        <v>3689446.56</v>
      </c>
      <c r="E264" s="190"/>
      <c r="F264" s="194"/>
    </row>
    <row r="265" spans="2:6" x14ac:dyDescent="0.25">
      <c r="B265" s="145" t="s">
        <v>400</v>
      </c>
      <c r="C265" s="193"/>
      <c r="D265" s="193">
        <v>0</v>
      </c>
      <c r="E265" s="190"/>
    </row>
    <row r="266" spans="2:6" x14ac:dyDescent="0.25">
      <c r="B266" s="147" t="s">
        <v>349</v>
      </c>
      <c r="C266" s="195">
        <f>SUM(C255:C265)</f>
        <v>161562696.14000002</v>
      </c>
      <c r="D266" s="148">
        <f>SUM(D255:D265)</f>
        <v>71662383.140000001</v>
      </c>
    </row>
    <row r="268" spans="2:6" x14ac:dyDescent="0.25">
      <c r="B268" s="408" t="s">
        <v>401</v>
      </c>
      <c r="C268" s="408"/>
      <c r="D268" s="408"/>
      <c r="E268" s="408"/>
    </row>
    <row r="269" spans="2:6" ht="11.25" customHeight="1" x14ac:dyDescent="0.25"/>
    <row r="270" spans="2:6" x14ac:dyDescent="0.25">
      <c r="B270" s="7" t="s">
        <v>389</v>
      </c>
      <c r="C270" s="7" t="s">
        <v>253</v>
      </c>
      <c r="D270" s="7" t="s">
        <v>346</v>
      </c>
    </row>
    <row r="271" spans="2:6" x14ac:dyDescent="0.25">
      <c r="B271" s="145" t="s">
        <v>402</v>
      </c>
      <c r="C271" s="72">
        <v>255638974</v>
      </c>
      <c r="D271" s="72">
        <v>311618073</v>
      </c>
      <c r="E271" s="190"/>
    </row>
    <row r="272" spans="2:6" x14ac:dyDescent="0.25">
      <c r="B272" s="145" t="s">
        <v>403</v>
      </c>
      <c r="C272" s="72">
        <v>40148406.18</v>
      </c>
      <c r="D272" s="72">
        <v>54453315.789999999</v>
      </c>
      <c r="E272" s="190"/>
    </row>
    <row r="273" spans="2:4" x14ac:dyDescent="0.25">
      <c r="B273" s="147" t="s">
        <v>349</v>
      </c>
      <c r="C273" s="148">
        <f>SUM(C271:C272)</f>
        <v>295787380.18000001</v>
      </c>
      <c r="D273" s="148">
        <f>SUM(D271:D272)</f>
        <v>366071388.79000002</v>
      </c>
    </row>
    <row r="274" spans="2:4" x14ac:dyDescent="0.25">
      <c r="B274" s="196"/>
      <c r="C274" s="197"/>
      <c r="D274" s="197"/>
    </row>
    <row r="275" spans="2:4" x14ac:dyDescent="0.25">
      <c r="B275" s="189" t="s">
        <v>404</v>
      </c>
      <c r="C275" s="123"/>
      <c r="D275" s="123"/>
    </row>
    <row r="276" spans="2:4" x14ac:dyDescent="0.25">
      <c r="B276" s="409" t="s">
        <v>267</v>
      </c>
      <c r="C276" s="409"/>
      <c r="D276" s="409"/>
    </row>
    <row r="277" spans="2:4" x14ac:dyDescent="0.25">
      <c r="B277" s="122"/>
      <c r="C277" s="123"/>
      <c r="D277" s="123"/>
    </row>
    <row r="278" spans="2:4" x14ac:dyDescent="0.25">
      <c r="B278" s="122" t="s">
        <v>405</v>
      </c>
      <c r="C278" s="123"/>
      <c r="D278" s="123"/>
    </row>
    <row r="279" spans="2:4" ht="15.75" customHeight="1" x14ac:dyDescent="0.25">
      <c r="B279" s="1" t="s">
        <v>406</v>
      </c>
      <c r="C279" s="5" t="s">
        <v>407</v>
      </c>
      <c r="D279" s="1" t="s">
        <v>408</v>
      </c>
    </row>
    <row r="280" spans="2:4" x14ac:dyDescent="0.25">
      <c r="B280" s="170" t="s">
        <v>409</v>
      </c>
      <c r="C280" s="198">
        <v>0</v>
      </c>
      <c r="D280" s="198">
        <v>0</v>
      </c>
    </row>
    <row r="281" spans="2:4" x14ac:dyDescent="0.25">
      <c r="B281" s="173" t="s">
        <v>349</v>
      </c>
      <c r="C281" s="199">
        <f>SUM(C280)</f>
        <v>0</v>
      </c>
      <c r="D281" s="199">
        <f>+D280</f>
        <v>0</v>
      </c>
    </row>
    <row r="283" spans="2:4" x14ac:dyDescent="0.25">
      <c r="B283" s="200" t="s">
        <v>410</v>
      </c>
      <c r="C283" s="12"/>
      <c r="D283" s="12"/>
    </row>
    <row r="284" spans="2:4" x14ac:dyDescent="0.25">
      <c r="B284" s="1" t="s">
        <v>411</v>
      </c>
      <c r="C284" s="5" t="s">
        <v>407</v>
      </c>
      <c r="D284" s="1" t="s">
        <v>408</v>
      </c>
    </row>
    <row r="285" spans="2:4" x14ac:dyDescent="0.25">
      <c r="B285" s="170" t="s">
        <v>409</v>
      </c>
      <c r="C285" s="201">
        <v>0</v>
      </c>
      <c r="D285" s="201">
        <v>0</v>
      </c>
    </row>
    <row r="286" spans="2:4" x14ac:dyDescent="0.25">
      <c r="B286" s="170" t="s">
        <v>412</v>
      </c>
      <c r="C286" s="201">
        <v>0</v>
      </c>
      <c r="D286" s="201">
        <v>0</v>
      </c>
    </row>
    <row r="287" spans="2:4" x14ac:dyDescent="0.25">
      <c r="B287" s="202" t="s">
        <v>349</v>
      </c>
      <c r="C287" s="203">
        <f>SUM(C285:C286)</f>
        <v>0</v>
      </c>
      <c r="D287" s="204">
        <f>+D285</f>
        <v>0</v>
      </c>
    </row>
    <row r="289" spans="2:5" x14ac:dyDescent="0.25">
      <c r="B289" s="122" t="s">
        <v>413</v>
      </c>
    </row>
    <row r="290" spans="2:5" x14ac:dyDescent="0.25">
      <c r="B290" s="1" t="s">
        <v>414</v>
      </c>
      <c r="C290" s="5" t="s">
        <v>407</v>
      </c>
      <c r="D290" s="1" t="s">
        <v>408</v>
      </c>
    </row>
    <row r="291" spans="2:5" x14ac:dyDescent="0.25">
      <c r="B291" s="170" t="s">
        <v>377</v>
      </c>
      <c r="C291" s="156"/>
      <c r="D291" s="205"/>
    </row>
    <row r="292" spans="2:5" x14ac:dyDescent="0.25">
      <c r="B292" s="173" t="s">
        <v>349</v>
      </c>
      <c r="C292" s="206" t="s">
        <v>415</v>
      </c>
      <c r="D292" s="207" t="s">
        <v>415</v>
      </c>
    </row>
    <row r="294" spans="2:5" x14ac:dyDescent="0.25">
      <c r="B294" s="122" t="s">
        <v>416</v>
      </c>
    </row>
    <row r="295" spans="2:5" x14ac:dyDescent="0.25">
      <c r="B295" s="1" t="s">
        <v>406</v>
      </c>
      <c r="C295" s="5" t="s">
        <v>407</v>
      </c>
      <c r="D295" s="1" t="s">
        <v>408</v>
      </c>
    </row>
    <row r="296" spans="2:5" x14ac:dyDescent="0.25">
      <c r="B296" s="170" t="s">
        <v>409</v>
      </c>
      <c r="C296" s="198"/>
      <c r="D296" s="198">
        <v>0</v>
      </c>
    </row>
    <row r="297" spans="2:5" x14ac:dyDescent="0.25">
      <c r="B297" s="173" t="s">
        <v>349</v>
      </c>
      <c r="C297" s="199">
        <f>+C296</f>
        <v>0</v>
      </c>
      <c r="D297" s="208">
        <f>+D296</f>
        <v>0</v>
      </c>
    </row>
    <row r="300" spans="2:5" x14ac:dyDescent="0.25">
      <c r="B300" s="408" t="s">
        <v>417</v>
      </c>
      <c r="C300" s="408"/>
      <c r="D300" s="408"/>
      <c r="E300" s="123"/>
    </row>
    <row r="301" spans="2:5" ht="15.75" customHeight="1" x14ac:dyDescent="0.25">
      <c r="B301" s="409" t="s">
        <v>267</v>
      </c>
      <c r="C301" s="409"/>
      <c r="D301" s="409"/>
      <c r="E301" s="409"/>
    </row>
    <row r="302" spans="2:5" x14ac:dyDescent="0.25">
      <c r="B302" s="209" t="s">
        <v>243</v>
      </c>
      <c r="C302" s="210" t="s">
        <v>253</v>
      </c>
      <c r="D302" s="210" t="s">
        <v>418</v>
      </c>
    </row>
    <row r="303" spans="2:5" x14ac:dyDescent="0.25">
      <c r="B303" s="170" t="s">
        <v>769</v>
      </c>
      <c r="C303" s="211">
        <v>47446742.79900001</v>
      </c>
      <c r="D303" s="211">
        <v>38599576.550000004</v>
      </c>
    </row>
    <row r="304" spans="2:5" x14ac:dyDescent="0.25">
      <c r="B304" s="173" t="s">
        <v>349</v>
      </c>
      <c r="C304" s="212">
        <f>SUM(C303:C303)</f>
        <v>47446742.79900001</v>
      </c>
      <c r="D304" s="208">
        <f>SUM(D303:D303)</f>
        <v>38599576.550000004</v>
      </c>
      <c r="E304" s="172"/>
    </row>
    <row r="306" spans="2:5" x14ac:dyDescent="0.25">
      <c r="B306" s="189" t="s">
        <v>420</v>
      </c>
    </row>
    <row r="307" spans="2:5" x14ac:dyDescent="0.25">
      <c r="B307" s="1" t="s">
        <v>243</v>
      </c>
      <c r="C307" s="1" t="s">
        <v>253</v>
      </c>
      <c r="D307" s="1" t="s">
        <v>418</v>
      </c>
    </row>
    <row r="308" spans="2:5" x14ac:dyDescent="0.25">
      <c r="B308" s="170" t="s">
        <v>421</v>
      </c>
      <c r="C308" s="72">
        <v>85846068</v>
      </c>
      <c r="D308" s="211">
        <v>0</v>
      </c>
    </row>
    <row r="309" spans="2:5" x14ac:dyDescent="0.25">
      <c r="B309" s="170" t="s">
        <v>767</v>
      </c>
      <c r="C309" s="72">
        <v>30525190.8706</v>
      </c>
      <c r="D309" s="211"/>
    </row>
    <row r="310" spans="2:5" x14ac:dyDescent="0.25">
      <c r="B310" s="173" t="s">
        <v>349</v>
      </c>
      <c r="C310" s="208">
        <f>SUM(C308:C309)</f>
        <v>116371258.8706</v>
      </c>
      <c r="D310" s="208">
        <f>+D308</f>
        <v>0</v>
      </c>
      <c r="E310" s="172"/>
    </row>
    <row r="311" spans="2:5" x14ac:dyDescent="0.25">
      <c r="C311" s="400"/>
    </row>
    <row r="312" spans="2:5" x14ac:dyDescent="0.25">
      <c r="C312" s="172"/>
    </row>
    <row r="315" spans="2:5" x14ac:dyDescent="0.25">
      <c r="B315" s="408" t="s">
        <v>422</v>
      </c>
      <c r="C315" s="408"/>
      <c r="D315" s="408"/>
      <c r="E315" s="408"/>
    </row>
    <row r="316" spans="2:5" ht="15.75" customHeight="1" x14ac:dyDescent="0.25">
      <c r="B316" s="213"/>
      <c r="C316" s="213"/>
      <c r="D316" s="213"/>
      <c r="E316" s="123"/>
    </row>
    <row r="317" spans="2:5" x14ac:dyDescent="0.25">
      <c r="B317" s="214" t="s">
        <v>243</v>
      </c>
      <c r="C317" s="215" t="s">
        <v>253</v>
      </c>
      <c r="D317" s="216" t="s">
        <v>418</v>
      </c>
    </row>
    <row r="318" spans="2:5" x14ac:dyDescent="0.25">
      <c r="B318" s="217" t="s">
        <v>423</v>
      </c>
      <c r="C318" s="218">
        <v>0</v>
      </c>
      <c r="D318" s="218">
        <v>0</v>
      </c>
      <c r="E318" s="219"/>
    </row>
    <row r="319" spans="2:5" ht="15.75" customHeight="1" x14ac:dyDescent="0.25">
      <c r="B319" s="220"/>
      <c r="C319" s="221">
        <f>SUM(C318)</f>
        <v>0</v>
      </c>
      <c r="D319" s="222">
        <f>SUM(D318)</f>
        <v>0</v>
      </c>
    </row>
    <row r="320" spans="2:5" x14ac:dyDescent="0.25">
      <c r="B320" s="123"/>
      <c r="C320" s="9"/>
      <c r="D320" s="9"/>
      <c r="E320" s="9"/>
    </row>
    <row r="321" spans="2:5" x14ac:dyDescent="0.25">
      <c r="B321" s="123"/>
      <c r="C321" s="123"/>
      <c r="D321" s="123"/>
      <c r="E321" s="123"/>
    </row>
    <row r="322" spans="2:5" ht="15" customHeight="1" x14ac:dyDescent="0.25">
      <c r="B322" s="420" t="s">
        <v>424</v>
      </c>
      <c r="C322" s="420"/>
      <c r="D322" s="420"/>
      <c r="E322" s="123"/>
    </row>
    <row r="323" spans="2:5" ht="15.75" customHeight="1" x14ac:dyDescent="0.25">
      <c r="B323" s="213"/>
      <c r="C323" s="213"/>
      <c r="D323" s="213"/>
      <c r="E323" s="123"/>
    </row>
    <row r="324" spans="2:5" x14ac:dyDescent="0.25">
      <c r="B324" s="214" t="s">
        <v>243</v>
      </c>
      <c r="C324" s="215" t="s">
        <v>253</v>
      </c>
      <c r="D324" s="216" t="s">
        <v>418</v>
      </c>
    </row>
    <row r="325" spans="2:5" x14ac:dyDescent="0.25">
      <c r="B325" s="217" t="s">
        <v>355</v>
      </c>
      <c r="C325" s="218">
        <v>0</v>
      </c>
      <c r="D325" s="218">
        <v>0</v>
      </c>
    </row>
    <row r="326" spans="2:5" x14ac:dyDescent="0.25">
      <c r="B326" s="217" t="s">
        <v>425</v>
      </c>
      <c r="C326" s="211">
        <v>0</v>
      </c>
      <c r="D326" s="211">
        <v>7663332.4340000004</v>
      </c>
    </row>
    <row r="327" spans="2:5" ht="15.75" customHeight="1" x14ac:dyDescent="0.25">
      <c r="B327" s="220"/>
      <c r="C327" s="221">
        <f>SUM(C325:C326)</f>
        <v>0</v>
      </c>
      <c r="D327" s="222">
        <f>SUM(D325:D326)</f>
        <v>7663332.4340000004</v>
      </c>
    </row>
    <row r="328" spans="2:5" x14ac:dyDescent="0.25">
      <c r="B328" s="223"/>
      <c r="C328" s="224"/>
      <c r="D328" s="224"/>
    </row>
    <row r="329" spans="2:5" ht="15.75" customHeight="1" x14ac:dyDescent="0.25">
      <c r="B329" s="223" t="s">
        <v>149</v>
      </c>
      <c r="C329" s="224"/>
      <c r="D329" s="224"/>
    </row>
    <row r="330" spans="2:5" x14ac:dyDescent="0.25">
      <c r="B330" s="214" t="s">
        <v>243</v>
      </c>
      <c r="C330" s="215" t="s">
        <v>253</v>
      </c>
      <c r="D330" s="216" t="s">
        <v>418</v>
      </c>
    </row>
    <row r="331" spans="2:5" x14ac:dyDescent="0.25">
      <c r="B331" s="225" t="s">
        <v>426</v>
      </c>
      <c r="C331" s="218">
        <v>50439068</v>
      </c>
      <c r="D331" s="218">
        <v>54825074</v>
      </c>
    </row>
    <row r="332" spans="2:5" x14ac:dyDescent="0.25">
      <c r="B332" s="225" t="s">
        <v>427</v>
      </c>
      <c r="C332" s="218">
        <v>50400322</v>
      </c>
      <c r="D332" s="218">
        <v>30542630</v>
      </c>
    </row>
    <row r="333" spans="2:5" x14ac:dyDescent="0.25">
      <c r="B333" s="225"/>
      <c r="C333" s="218"/>
      <c r="D333" s="218">
        <v>19385807</v>
      </c>
    </row>
    <row r="334" spans="2:5" x14ac:dyDescent="0.25">
      <c r="B334" s="225"/>
      <c r="C334" s="218"/>
      <c r="D334" s="218">
        <v>54782959</v>
      </c>
    </row>
    <row r="335" spans="2:5" x14ac:dyDescent="0.25">
      <c r="B335" s="225"/>
      <c r="C335" s="218">
        <v>0</v>
      </c>
      <c r="D335" s="218">
        <v>0</v>
      </c>
    </row>
    <row r="336" spans="2:5" x14ac:dyDescent="0.25">
      <c r="B336" s="225"/>
      <c r="C336" s="218">
        <v>0</v>
      </c>
      <c r="D336" s="218">
        <v>0</v>
      </c>
    </row>
    <row r="337" spans="2:5" x14ac:dyDescent="0.25">
      <c r="B337" s="225"/>
      <c r="C337" s="218">
        <v>0</v>
      </c>
      <c r="D337" s="218">
        <v>0</v>
      </c>
    </row>
    <row r="338" spans="2:5" x14ac:dyDescent="0.25">
      <c r="B338" s="226"/>
      <c r="C338" s="218">
        <v>0</v>
      </c>
      <c r="D338" s="218">
        <v>0</v>
      </c>
    </row>
    <row r="339" spans="2:5" x14ac:dyDescent="0.25">
      <c r="B339" s="225"/>
      <c r="C339" s="218">
        <v>0</v>
      </c>
      <c r="D339" s="218">
        <v>0</v>
      </c>
    </row>
    <row r="340" spans="2:5" x14ac:dyDescent="0.25">
      <c r="B340" s="226"/>
      <c r="C340" s="218">
        <v>0</v>
      </c>
      <c r="D340" s="218">
        <v>0</v>
      </c>
    </row>
    <row r="341" spans="2:5" ht="15.75" customHeight="1" x14ac:dyDescent="0.25">
      <c r="B341" s="220"/>
      <c r="C341" s="221">
        <f>SUM(C331:C340)</f>
        <v>100839390</v>
      </c>
      <c r="D341" s="221">
        <f>SUM(D331:D340)</f>
        <v>159536470</v>
      </c>
      <c r="E341" s="219"/>
    </row>
    <row r="342" spans="2:5" x14ac:dyDescent="0.25">
      <c r="B342" s="123"/>
      <c r="C342" s="213"/>
      <c r="D342" s="213"/>
      <c r="E342" s="123"/>
    </row>
    <row r="343" spans="2:5" x14ac:dyDescent="0.25">
      <c r="B343" s="122" t="s">
        <v>428</v>
      </c>
      <c r="C343" s="123"/>
      <c r="D343" s="123"/>
      <c r="E343" s="123"/>
    </row>
    <row r="344" spans="2:5" x14ac:dyDescent="0.25">
      <c r="B344" s="123" t="s">
        <v>429</v>
      </c>
      <c r="C344" s="123"/>
      <c r="D344" s="123"/>
      <c r="E344" s="123"/>
    </row>
    <row r="345" spans="2:5" x14ac:dyDescent="0.25">
      <c r="B345" s="123"/>
      <c r="C345" s="123"/>
      <c r="D345" s="123"/>
      <c r="E345" s="123"/>
    </row>
    <row r="346" spans="2:5" x14ac:dyDescent="0.25">
      <c r="B346" s="408" t="s">
        <v>430</v>
      </c>
      <c r="C346" s="408"/>
      <c r="D346" s="123"/>
      <c r="E346" s="123"/>
    </row>
    <row r="347" spans="2:5" x14ac:dyDescent="0.25">
      <c r="B347" s="9"/>
      <c r="C347" s="9"/>
      <c r="D347" s="123"/>
      <c r="E347" s="123"/>
    </row>
    <row r="348" spans="2:5" ht="15.75" customHeight="1" x14ac:dyDescent="0.25">
      <c r="B348" s="409" t="s">
        <v>267</v>
      </c>
      <c r="C348" s="409"/>
      <c r="D348" s="409"/>
      <c r="E348" s="409"/>
    </row>
    <row r="349" spans="2:5" x14ac:dyDescent="0.25">
      <c r="B349" s="209" t="s">
        <v>243</v>
      </c>
      <c r="C349" s="210" t="s">
        <v>253</v>
      </c>
      <c r="D349" s="210" t="s">
        <v>418</v>
      </c>
    </row>
    <row r="350" spans="2:5" x14ac:dyDescent="0.25">
      <c r="B350" s="170" t="s">
        <v>431</v>
      </c>
      <c r="C350" s="211">
        <v>0</v>
      </c>
      <c r="D350" s="211">
        <v>0</v>
      </c>
    </row>
    <row r="351" spans="2:5" x14ac:dyDescent="0.25">
      <c r="B351" s="170" t="s">
        <v>432</v>
      </c>
      <c r="C351" s="211">
        <v>5289584</v>
      </c>
      <c r="D351" s="211">
        <v>5075739</v>
      </c>
    </row>
    <row r="352" spans="2:5" x14ac:dyDescent="0.25">
      <c r="B352" s="170" t="s">
        <v>433</v>
      </c>
      <c r="C352" s="211">
        <v>10355062.65</v>
      </c>
      <c r="D352" s="72"/>
    </row>
    <row r="353" spans="2:6" x14ac:dyDescent="0.25">
      <c r="B353" s="170" t="s">
        <v>434</v>
      </c>
      <c r="C353" s="211">
        <v>0</v>
      </c>
      <c r="D353" s="72"/>
    </row>
    <row r="354" spans="2:6" x14ac:dyDescent="0.25">
      <c r="B354" s="170" t="s">
        <v>435</v>
      </c>
      <c r="C354" s="211">
        <v>1100000</v>
      </c>
      <c r="D354" s="211">
        <v>0</v>
      </c>
    </row>
    <row r="355" spans="2:6" x14ac:dyDescent="0.25">
      <c r="B355" s="173" t="s">
        <v>349</v>
      </c>
      <c r="C355" s="208">
        <f>SUM(C350:C354)</f>
        <v>16744646.65</v>
      </c>
      <c r="D355" s="208">
        <f>SUM(D350:D354)</f>
        <v>5075739</v>
      </c>
      <c r="E355" s="172"/>
    </row>
    <row r="358" spans="2:6" x14ac:dyDescent="0.25">
      <c r="B358" s="122" t="s">
        <v>436</v>
      </c>
      <c r="C358" s="123"/>
      <c r="D358" s="123"/>
    </row>
    <row r="359" spans="2:6" ht="15.75" hidden="1" customHeight="1" x14ac:dyDescent="0.25">
      <c r="B359" s="227" t="s">
        <v>437</v>
      </c>
      <c r="C359" s="228"/>
      <c r="D359" s="228"/>
      <c r="F359" s="229"/>
    </row>
    <row r="360" spans="2:6" ht="15.75" hidden="1" customHeight="1" x14ac:dyDescent="0.25">
      <c r="B360" s="227" t="s">
        <v>438</v>
      </c>
      <c r="C360" s="228"/>
      <c r="D360" s="228"/>
      <c r="F360" s="229"/>
    </row>
    <row r="361" spans="2:6" ht="15.75" hidden="1" customHeight="1" x14ac:dyDescent="0.25">
      <c r="B361" s="227" t="s">
        <v>439</v>
      </c>
      <c r="C361" s="228"/>
      <c r="D361" s="228"/>
      <c r="F361" s="229"/>
    </row>
    <row r="362" spans="2:6" x14ac:dyDescent="0.25">
      <c r="B362" s="123" t="s">
        <v>429</v>
      </c>
      <c r="C362" s="230"/>
      <c r="D362" s="230"/>
      <c r="F362" s="229"/>
    </row>
    <row r="363" spans="2:6" x14ac:dyDescent="0.25">
      <c r="B363" s="123"/>
      <c r="C363" s="123"/>
      <c r="D363" s="123"/>
    </row>
    <row r="364" spans="2:6" ht="15" customHeight="1" x14ac:dyDescent="0.25">
      <c r="B364" s="416" t="s">
        <v>440</v>
      </c>
      <c r="C364" s="416"/>
      <c r="D364" s="416"/>
    </row>
    <row r="365" spans="2:6" x14ac:dyDescent="0.25">
      <c r="B365" s="169"/>
      <c r="C365" s="123"/>
      <c r="D365" s="123"/>
    </row>
    <row r="366" spans="2:6" x14ac:dyDescent="0.25">
      <c r="B366" s="189" t="s">
        <v>441</v>
      </c>
      <c r="C366" s="123"/>
      <c r="D366" s="123"/>
      <c r="F366" s="231"/>
    </row>
    <row r="367" spans="2:6" ht="15.75" customHeight="1" x14ac:dyDescent="0.25">
      <c r="B367" s="189"/>
      <c r="C367" s="123"/>
      <c r="D367" s="123"/>
      <c r="F367" s="231"/>
    </row>
    <row r="368" spans="2:6" x14ac:dyDescent="0.25">
      <c r="B368" s="209" t="s">
        <v>442</v>
      </c>
      <c r="C368" s="210" t="s">
        <v>243</v>
      </c>
      <c r="D368" s="210" t="s">
        <v>443</v>
      </c>
      <c r="E368" s="215" t="s">
        <v>253</v>
      </c>
      <c r="F368" s="216" t="s">
        <v>418</v>
      </c>
    </row>
    <row r="369" spans="2:6" x14ac:dyDescent="0.25">
      <c r="B369" s="217" t="s">
        <v>355</v>
      </c>
      <c r="C369" s="170" t="s">
        <v>444</v>
      </c>
      <c r="D369" s="170" t="s">
        <v>445</v>
      </c>
      <c r="E369" s="218">
        <v>0</v>
      </c>
      <c r="F369" s="218">
        <v>0</v>
      </c>
    </row>
    <row r="370" spans="2:6" x14ac:dyDescent="0.25">
      <c r="B370" s="232" t="s">
        <v>356</v>
      </c>
      <c r="C370" s="170" t="s">
        <v>444</v>
      </c>
      <c r="D370" s="170" t="s">
        <v>446</v>
      </c>
      <c r="E370" s="233">
        <v>0</v>
      </c>
      <c r="F370" s="233">
        <v>0</v>
      </c>
    </row>
    <row r="371" spans="2:6" ht="15.75" customHeight="1" x14ac:dyDescent="0.25">
      <c r="B371" s="220"/>
      <c r="C371" s="173"/>
      <c r="D371" s="173"/>
      <c r="E371" s="221">
        <f>SUM(E369:E370)</f>
        <v>0</v>
      </c>
      <c r="F371" s="222">
        <f>SUM(F369:F370)</f>
        <v>0</v>
      </c>
    </row>
    <row r="374" spans="2:6" x14ac:dyDescent="0.25">
      <c r="B374" s="189" t="s">
        <v>447</v>
      </c>
      <c r="C374" s="234"/>
      <c r="D374" s="235"/>
      <c r="F374" s="231"/>
    </row>
    <row r="375" spans="2:6" ht="15.75" customHeight="1" x14ac:dyDescent="0.25">
      <c r="B375" s="421" t="s">
        <v>448</v>
      </c>
      <c r="C375" s="421"/>
      <c r="D375" s="421"/>
      <c r="E375" s="421"/>
      <c r="F375" s="421"/>
    </row>
    <row r="376" spans="2:6" x14ac:dyDescent="0.25">
      <c r="B376" s="209" t="s">
        <v>442</v>
      </c>
      <c r="C376" s="210" t="s">
        <v>243</v>
      </c>
      <c r="D376" s="210" t="s">
        <v>443</v>
      </c>
      <c r="E376" s="210" t="s">
        <v>253</v>
      </c>
      <c r="F376" s="210" t="s">
        <v>418</v>
      </c>
    </row>
    <row r="377" spans="2:6" x14ac:dyDescent="0.25">
      <c r="B377" s="173" t="s">
        <v>355</v>
      </c>
      <c r="C377" s="173" t="s">
        <v>449</v>
      </c>
      <c r="D377" s="173" t="s">
        <v>445</v>
      </c>
      <c r="E377" s="208"/>
      <c r="F377" s="208">
        <v>157245816</v>
      </c>
    </row>
    <row r="378" spans="2:6" x14ac:dyDescent="0.25">
      <c r="B378" s="173" t="s">
        <v>355</v>
      </c>
      <c r="C378" s="173" t="s">
        <v>450</v>
      </c>
      <c r="D378" s="173" t="s">
        <v>445</v>
      </c>
      <c r="E378" s="208"/>
      <c r="F378" s="208">
        <v>267365</v>
      </c>
    </row>
    <row r="379" spans="2:6" x14ac:dyDescent="0.25">
      <c r="B379" s="173" t="s">
        <v>355</v>
      </c>
      <c r="C379" s="173" t="s">
        <v>449</v>
      </c>
      <c r="D379" s="173" t="s">
        <v>445</v>
      </c>
      <c r="E379" s="208">
        <v>0</v>
      </c>
      <c r="F379" s="208">
        <v>0</v>
      </c>
    </row>
    <row r="380" spans="2:6" x14ac:dyDescent="0.25">
      <c r="B380" s="173" t="s">
        <v>356</v>
      </c>
      <c r="C380" s="173" t="s">
        <v>450</v>
      </c>
      <c r="D380" s="173" t="s">
        <v>451</v>
      </c>
      <c r="E380" s="208">
        <v>0</v>
      </c>
      <c r="F380" s="208">
        <v>0</v>
      </c>
    </row>
    <row r="381" spans="2:6" x14ac:dyDescent="0.25">
      <c r="B381" s="173" t="s">
        <v>349</v>
      </c>
      <c r="C381" s="173"/>
      <c r="D381" s="173"/>
      <c r="E381" s="208">
        <f>SUM(E377:E380)</f>
        <v>0</v>
      </c>
      <c r="F381" s="208">
        <f>SUM(F377:F380)</f>
        <v>157513181</v>
      </c>
    </row>
    <row r="383" spans="2:6" ht="15.75" customHeight="1" x14ac:dyDescent="0.25">
      <c r="B383" s="421" t="s">
        <v>452</v>
      </c>
      <c r="C383" s="421"/>
      <c r="D383" s="421"/>
      <c r="E383" s="421"/>
      <c r="F383" s="421"/>
    </row>
    <row r="384" spans="2:6" x14ac:dyDescent="0.25">
      <c r="B384" s="209" t="s">
        <v>442</v>
      </c>
      <c r="C384" s="210" t="s">
        <v>243</v>
      </c>
      <c r="D384" s="210" t="s">
        <v>443</v>
      </c>
      <c r="E384" s="210" t="s">
        <v>253</v>
      </c>
      <c r="F384" s="210" t="s">
        <v>418</v>
      </c>
    </row>
    <row r="385" spans="2:6" x14ac:dyDescent="0.25">
      <c r="B385" s="170" t="s">
        <v>355</v>
      </c>
      <c r="C385" s="170" t="s">
        <v>453</v>
      </c>
      <c r="D385" s="170" t="s">
        <v>445</v>
      </c>
      <c r="E385" s="208"/>
      <c r="F385" s="208">
        <v>38181818.219999999</v>
      </c>
    </row>
    <row r="386" spans="2:6" x14ac:dyDescent="0.25">
      <c r="B386" s="170" t="s">
        <v>355</v>
      </c>
      <c r="C386" s="170" t="s">
        <v>454</v>
      </c>
      <c r="D386" s="170" t="s">
        <v>445</v>
      </c>
      <c r="E386" s="208"/>
      <c r="F386" s="208">
        <v>43717930.549999997</v>
      </c>
    </row>
    <row r="387" spans="2:6" x14ac:dyDescent="0.25">
      <c r="B387" s="170" t="s">
        <v>356</v>
      </c>
      <c r="C387" s="170" t="s">
        <v>453</v>
      </c>
      <c r="D387" s="170" t="s">
        <v>451</v>
      </c>
      <c r="E387" s="208"/>
      <c r="F387" s="208">
        <v>36363636.399999999</v>
      </c>
    </row>
    <row r="388" spans="2:6" x14ac:dyDescent="0.25">
      <c r="B388" s="170" t="s">
        <v>356</v>
      </c>
      <c r="C388" s="170" t="s">
        <v>454</v>
      </c>
      <c r="D388" s="170" t="s">
        <v>451</v>
      </c>
      <c r="E388" s="208"/>
      <c r="F388" s="208">
        <v>25028836.489999998</v>
      </c>
    </row>
    <row r="389" spans="2:6" x14ac:dyDescent="0.25">
      <c r="B389" s="173" t="s">
        <v>349</v>
      </c>
      <c r="C389" s="173"/>
      <c r="D389" s="173"/>
      <c r="E389" s="208">
        <f>SUM(E385:E388)</f>
        <v>0</v>
      </c>
      <c r="F389" s="208">
        <f>SUM(F385:F388)</f>
        <v>143292221.66</v>
      </c>
    </row>
    <row r="393" spans="2:6" s="236" customFormat="1" ht="12.75" customHeight="1" x14ac:dyDescent="0.2">
      <c r="B393" s="237" t="s">
        <v>455</v>
      </c>
      <c r="C393" s="237"/>
      <c r="D393" s="237"/>
      <c r="E393" s="237"/>
      <c r="F393" s="237"/>
    </row>
    <row r="394" spans="2:6" s="236" customFormat="1" ht="13.5" customHeight="1" x14ac:dyDescent="0.2">
      <c r="B394" s="237"/>
      <c r="C394" s="237"/>
      <c r="D394" s="237"/>
      <c r="E394" s="237"/>
      <c r="F394" s="237"/>
    </row>
    <row r="395" spans="2:6" x14ac:dyDescent="0.25">
      <c r="B395" s="209" t="s">
        <v>243</v>
      </c>
      <c r="C395" s="210" t="s">
        <v>253</v>
      </c>
      <c r="D395" s="210" t="s">
        <v>418</v>
      </c>
    </row>
    <row r="396" spans="2:6" x14ac:dyDescent="0.25">
      <c r="B396" s="170" t="s">
        <v>456</v>
      </c>
      <c r="C396" s="211"/>
      <c r="D396" s="211"/>
      <c r="F396" s="238"/>
    </row>
    <row r="397" spans="2:6" x14ac:dyDescent="0.25">
      <c r="B397" s="173" t="s">
        <v>349</v>
      </c>
      <c r="C397" s="208">
        <f>SUM(C396)</f>
        <v>0</v>
      </c>
      <c r="D397" s="208">
        <f>SUM(D396)</f>
        <v>0</v>
      </c>
      <c r="E397" s="172"/>
      <c r="F397" s="239"/>
    </row>
    <row r="398" spans="2:6" s="236" customFormat="1" ht="12.75" customHeight="1" x14ac:dyDescent="0.2">
      <c r="B398" s="409"/>
      <c r="C398" s="409"/>
      <c r="D398" s="409"/>
      <c r="E398" s="409"/>
      <c r="F398" s="123"/>
    </row>
    <row r="399" spans="2:6" s="236" customFormat="1" ht="12.75" customHeight="1" x14ac:dyDescent="0.2">
      <c r="B399" s="123"/>
      <c r="C399" s="240"/>
      <c r="D399" s="123"/>
      <c r="E399" s="123"/>
      <c r="F399" s="123"/>
    </row>
    <row r="400" spans="2:6" s="236" customFormat="1" ht="12.75" customHeight="1" x14ac:dyDescent="0.2">
      <c r="B400" s="408" t="s">
        <v>457</v>
      </c>
      <c r="C400" s="408"/>
      <c r="D400" s="408"/>
      <c r="E400" s="408"/>
      <c r="F400" s="408"/>
    </row>
    <row r="401" spans="2:7" s="236" customFormat="1" ht="39" customHeight="1" x14ac:dyDescent="0.2">
      <c r="B401" s="5" t="s">
        <v>243</v>
      </c>
      <c r="C401" s="5" t="s">
        <v>458</v>
      </c>
      <c r="D401" s="5" t="s">
        <v>381</v>
      </c>
      <c r="E401" s="5" t="s">
        <v>459</v>
      </c>
      <c r="F401" s="5" t="s">
        <v>460</v>
      </c>
    </row>
    <row r="402" spans="2:7" s="236" customFormat="1" ht="12.75" customHeight="1" x14ac:dyDescent="0.2">
      <c r="B402" s="241" t="s">
        <v>50</v>
      </c>
      <c r="C402" s="154">
        <f>+'Balance General'!G43</f>
        <v>4534400000</v>
      </c>
      <c r="D402" s="154">
        <f>+'Balance General'!F43-'Balance General'!G43</f>
        <v>0</v>
      </c>
      <c r="E402" s="154">
        <v>0</v>
      </c>
      <c r="F402" s="154">
        <f t="shared" ref="F402:F408" si="1">SUM(C402:E402)</f>
        <v>4534400000</v>
      </c>
    </row>
    <row r="403" spans="2:7" s="236" customFormat="1" ht="12.75" customHeight="1" x14ac:dyDescent="0.2">
      <c r="B403" s="241" t="s">
        <v>461</v>
      </c>
      <c r="C403" s="154">
        <f>+'Balance General'!G46</f>
        <v>1360000000</v>
      </c>
      <c r="D403" s="154">
        <v>557000000</v>
      </c>
      <c r="E403" s="154">
        <v>0</v>
      </c>
      <c r="F403" s="154">
        <f t="shared" si="1"/>
        <v>1917000000</v>
      </c>
    </row>
    <row r="404" spans="2:7" s="236" customFormat="1" ht="12.75" customHeight="1" x14ac:dyDescent="0.2">
      <c r="B404" s="241" t="s">
        <v>462</v>
      </c>
      <c r="C404" s="154">
        <f>+'Balance General'!G44</f>
        <v>10126094</v>
      </c>
      <c r="D404" s="154">
        <f>+'Balance General'!F44-'Balance General'!G44</f>
        <v>0</v>
      </c>
      <c r="E404" s="154">
        <v>0</v>
      </c>
      <c r="F404" s="154">
        <f t="shared" si="1"/>
        <v>10126094</v>
      </c>
    </row>
    <row r="405" spans="2:7" s="236" customFormat="1" ht="12.75" customHeight="1" x14ac:dyDescent="0.2">
      <c r="B405" s="241" t="s">
        <v>463</v>
      </c>
      <c r="C405" s="154">
        <f>+'Balance General'!G45</f>
        <v>14010438</v>
      </c>
      <c r="D405" s="154">
        <v>0</v>
      </c>
      <c r="E405" s="154">
        <f>+'Balance General'!F45-'Balance General'!G45</f>
        <v>0</v>
      </c>
      <c r="F405" s="154">
        <f t="shared" si="1"/>
        <v>14010438</v>
      </c>
    </row>
    <row r="406" spans="2:7" s="236" customFormat="1" ht="12.75" customHeight="1" x14ac:dyDescent="0.2">
      <c r="B406" s="241" t="s">
        <v>464</v>
      </c>
      <c r="C406" s="154">
        <f>+'Balance General'!G47</f>
        <v>221150226</v>
      </c>
      <c r="D406" s="242">
        <f>+'Balance General'!F47-'Balance General'!G47</f>
        <v>19181240</v>
      </c>
      <c r="E406" s="154">
        <v>0</v>
      </c>
      <c r="F406" s="154">
        <f t="shared" si="1"/>
        <v>240331466</v>
      </c>
    </row>
    <row r="407" spans="2:7" s="236" customFormat="1" ht="12.75" customHeight="1" x14ac:dyDescent="0.2">
      <c r="B407" s="241" t="s">
        <v>61</v>
      </c>
      <c r="C407" s="154">
        <f>+'Balance General'!G52</f>
        <v>-1627508588.1199999</v>
      </c>
      <c r="D407" s="243">
        <v>0</v>
      </c>
      <c r="E407" s="154">
        <f>+'Balance General'!F52-'Balance General'!G52</f>
        <v>386111610.00000405</v>
      </c>
      <c r="F407" s="154">
        <f t="shared" si="1"/>
        <v>-1241396978.1199958</v>
      </c>
    </row>
    <row r="408" spans="2:7" s="236" customFormat="1" ht="12.75" customHeight="1" x14ac:dyDescent="0.2">
      <c r="B408" s="241" t="s">
        <v>465</v>
      </c>
      <c r="C408" s="154">
        <f>+'Balance General'!G53</f>
        <v>386111610.00000381</v>
      </c>
      <c r="D408" s="154">
        <f>+'Balance General'!F53</f>
        <v>4471912.9600009918</v>
      </c>
      <c r="E408" s="154">
        <f>-C408</f>
        <v>-386111610.00000381</v>
      </c>
      <c r="F408" s="154">
        <f t="shared" si="1"/>
        <v>4471912.9600009918</v>
      </c>
    </row>
    <row r="409" spans="2:7" s="236" customFormat="1" ht="12.75" customHeight="1" x14ac:dyDescent="0.2">
      <c r="B409" s="83" t="s">
        <v>466</v>
      </c>
      <c r="C409" s="86">
        <f>SUM(C402:C408)</f>
        <v>4898289779.8800039</v>
      </c>
      <c r="D409" s="86">
        <f>SUM(D402:D408)</f>
        <v>580653152.96000099</v>
      </c>
      <c r="E409" s="86">
        <f>SUM(E402:E408)</f>
        <v>0</v>
      </c>
      <c r="F409" s="86">
        <f>SUM(F402:F408)</f>
        <v>5478942932.8400049</v>
      </c>
      <c r="G409" s="244"/>
    </row>
    <row r="410" spans="2:7" s="236" customFormat="1" ht="12.75" customHeight="1" x14ac:dyDescent="0.2">
      <c r="B410" s="189" t="s">
        <v>467</v>
      </c>
      <c r="C410" s="123"/>
      <c r="D410" s="123"/>
      <c r="E410" s="123"/>
      <c r="F410" s="123"/>
    </row>
    <row r="411" spans="2:7" s="236" customFormat="1" ht="12.75" customHeight="1" x14ac:dyDescent="0.2">
      <c r="B411" s="169" t="s">
        <v>429</v>
      </c>
      <c r="C411" s="123"/>
      <c r="D411" s="123"/>
      <c r="E411" s="123"/>
      <c r="F411" s="123"/>
    </row>
    <row r="412" spans="2:7" s="236" customFormat="1" ht="12.75" customHeight="1" x14ac:dyDescent="0.2">
      <c r="B412" s="123"/>
      <c r="C412" s="123"/>
      <c r="D412" s="123"/>
      <c r="E412" s="123"/>
      <c r="F412" s="123"/>
    </row>
    <row r="413" spans="2:7" s="236" customFormat="1" ht="12.75" customHeight="1" x14ac:dyDescent="0.2">
      <c r="B413" s="408" t="s">
        <v>468</v>
      </c>
      <c r="C413" s="408"/>
      <c r="D413" s="408"/>
      <c r="E413" s="408"/>
      <c r="F413" s="408"/>
    </row>
    <row r="414" spans="2:7" s="236" customFormat="1" ht="12.75" customHeight="1" x14ac:dyDescent="0.2">
      <c r="B414" s="189" t="s">
        <v>469</v>
      </c>
      <c r="C414" s="123"/>
      <c r="D414" s="123"/>
      <c r="E414" s="123"/>
      <c r="F414" s="123"/>
    </row>
    <row r="415" spans="2:7" s="236" customFormat="1" ht="12.75" customHeight="1" x14ac:dyDescent="0.2">
      <c r="B415" s="417" t="s">
        <v>243</v>
      </c>
      <c r="C415" s="1" t="s">
        <v>470</v>
      </c>
      <c r="D415" s="1" t="s">
        <v>471</v>
      </c>
      <c r="E415" s="123"/>
      <c r="F415" s="123"/>
    </row>
    <row r="416" spans="2:7" s="236" customFormat="1" ht="12.75" customHeight="1" x14ac:dyDescent="0.2">
      <c r="B416" s="417"/>
      <c r="C416" s="1" t="s">
        <v>472</v>
      </c>
      <c r="D416" s="1" t="s">
        <v>473</v>
      </c>
      <c r="E416" s="123"/>
      <c r="F416" s="123"/>
    </row>
    <row r="417" spans="2:6" s="236" customFormat="1" ht="12.75" customHeight="1" x14ac:dyDescent="0.2">
      <c r="B417" s="170" t="s">
        <v>474</v>
      </c>
      <c r="C417" s="211"/>
      <c r="D417" s="211">
        <v>157245816</v>
      </c>
      <c r="E417" s="123"/>
      <c r="F417" s="123"/>
    </row>
    <row r="418" spans="2:6" s="236" customFormat="1" ht="12.75" customHeight="1" x14ac:dyDescent="0.2">
      <c r="B418" s="245" t="s">
        <v>356</v>
      </c>
      <c r="C418" s="211">
        <v>0</v>
      </c>
      <c r="D418" s="211">
        <v>0</v>
      </c>
      <c r="E418" s="123"/>
      <c r="F418" s="123"/>
    </row>
    <row r="419" spans="2:6" s="236" customFormat="1" ht="12.75" customHeight="1" x14ac:dyDescent="0.2">
      <c r="B419" s="246" t="s">
        <v>349</v>
      </c>
      <c r="C419" s="247">
        <f>SUM(C417:C418)</f>
        <v>0</v>
      </c>
      <c r="D419" s="247">
        <f>SUM(D417:D418)</f>
        <v>157245816</v>
      </c>
      <c r="E419" s="123"/>
      <c r="F419" s="123"/>
    </row>
    <row r="422" spans="2:6" s="236" customFormat="1" ht="12.75" customHeight="1" x14ac:dyDescent="0.2">
      <c r="B422" s="9" t="s">
        <v>475</v>
      </c>
      <c r="C422" s="123"/>
      <c r="D422" s="123"/>
    </row>
    <row r="423" spans="2:6" s="236" customFormat="1" ht="12.75" customHeight="1" x14ac:dyDescent="0.2">
      <c r="B423" s="8" t="s">
        <v>267</v>
      </c>
      <c r="C423" s="123"/>
      <c r="D423" s="123"/>
    </row>
    <row r="424" spans="2:6" s="236" customFormat="1" ht="12.75" customHeight="1" x14ac:dyDescent="0.2">
      <c r="B424" s="417" t="s">
        <v>243</v>
      </c>
      <c r="C424" s="1" t="s">
        <v>470</v>
      </c>
      <c r="D424" s="1" t="s">
        <v>471</v>
      </c>
    </row>
    <row r="425" spans="2:6" s="236" customFormat="1" ht="12.75" customHeight="1" x14ac:dyDescent="0.2">
      <c r="B425" s="417"/>
      <c r="C425" s="1" t="s">
        <v>472</v>
      </c>
      <c r="D425" s="1" t="s">
        <v>473</v>
      </c>
    </row>
    <row r="426" spans="2:6" s="236" customFormat="1" ht="12.75" customHeight="1" x14ac:dyDescent="0.2">
      <c r="B426" s="170" t="s">
        <v>476</v>
      </c>
      <c r="C426" s="211">
        <v>829641232</v>
      </c>
      <c r="D426" s="402">
        <v>397135012</v>
      </c>
    </row>
    <row r="427" spans="2:6" s="236" customFormat="1" ht="12.75" customHeight="1" x14ac:dyDescent="0.2">
      <c r="B427" s="170" t="s">
        <v>477</v>
      </c>
      <c r="C427" s="211">
        <v>2122655882.3699999</v>
      </c>
      <c r="D427" s="402">
        <v>3073147561.1599998</v>
      </c>
    </row>
    <row r="428" spans="2:6" s="236" customFormat="1" ht="12.75" customHeight="1" x14ac:dyDescent="0.2">
      <c r="B428" s="170" t="s">
        <v>478</v>
      </c>
      <c r="C428" s="211">
        <v>60289517</v>
      </c>
      <c r="D428" s="402">
        <v>73209863</v>
      </c>
    </row>
    <row r="429" spans="2:6" s="236" customFormat="1" ht="12.75" customHeight="1" x14ac:dyDescent="0.2">
      <c r="B429" s="170" t="s">
        <v>479</v>
      </c>
      <c r="C429" s="211">
        <v>124885119.42</v>
      </c>
      <c r="D429" s="402">
        <v>608152203.40999997</v>
      </c>
    </row>
    <row r="430" spans="2:6" s="236" customFormat="1" ht="12.75" customHeight="1" x14ac:dyDescent="0.2">
      <c r="B430" s="173" t="s">
        <v>349</v>
      </c>
      <c r="C430" s="208">
        <f>SUM(C426:C429)</f>
        <v>3137471750.79</v>
      </c>
      <c r="D430" s="208">
        <f>SUM(D426:D429)</f>
        <v>4151644639.5699997</v>
      </c>
    </row>
    <row r="431" spans="2:6" s="236" customFormat="1" ht="12.75" customHeight="1" x14ac:dyDescent="0.2">
      <c r="B431" s="170" t="s">
        <v>480</v>
      </c>
      <c r="C431" s="211">
        <v>578349538</v>
      </c>
      <c r="D431" s="402">
        <v>141128059</v>
      </c>
    </row>
    <row r="432" spans="2:6" s="236" customFormat="1" ht="12.75" customHeight="1" x14ac:dyDescent="0.2">
      <c r="B432" s="170" t="s">
        <v>481</v>
      </c>
      <c r="C432" s="211">
        <v>7247611.7199999997</v>
      </c>
      <c r="D432" s="402">
        <v>999046.25</v>
      </c>
    </row>
    <row r="433" spans="2:4" s="236" customFormat="1" ht="12.75" customHeight="1" x14ac:dyDescent="0.2">
      <c r="B433" s="170" t="s">
        <v>482</v>
      </c>
      <c r="C433" s="211">
        <v>42138000</v>
      </c>
      <c r="D433" s="402">
        <v>0</v>
      </c>
    </row>
    <row r="434" spans="2:4" s="236" customFormat="1" ht="12.75" customHeight="1" x14ac:dyDescent="0.2">
      <c r="B434" s="170" t="s">
        <v>483</v>
      </c>
      <c r="C434" s="211">
        <v>1194726695.9200001</v>
      </c>
      <c r="D434" s="402"/>
    </row>
    <row r="435" spans="2:4" s="236" customFormat="1" ht="12.75" customHeight="1" x14ac:dyDescent="0.2">
      <c r="B435" s="170" t="s">
        <v>484</v>
      </c>
      <c r="C435" s="211">
        <v>2286870.7000000002</v>
      </c>
      <c r="D435" s="402"/>
    </row>
    <row r="436" spans="2:4" s="236" customFormat="1" ht="12.75" customHeight="1" x14ac:dyDescent="0.2">
      <c r="B436" s="173" t="s">
        <v>349</v>
      </c>
      <c r="C436" s="208">
        <f>SUM(C431:C435)</f>
        <v>1824748716.3400002</v>
      </c>
      <c r="D436" s="208">
        <f>SUM(D431:D435)</f>
        <v>142127105.25</v>
      </c>
    </row>
    <row r="437" spans="2:4" s="236" customFormat="1" ht="12.75" customHeight="1" x14ac:dyDescent="0.2">
      <c r="B437" s="170"/>
      <c r="C437" s="211"/>
      <c r="D437" s="211">
        <v>0</v>
      </c>
    </row>
    <row r="438" spans="2:4" s="236" customFormat="1" ht="12.75" customHeight="1" x14ac:dyDescent="0.2">
      <c r="B438" s="170" t="s">
        <v>485</v>
      </c>
      <c r="C438" s="211">
        <v>7028859.0700000003</v>
      </c>
      <c r="D438" s="402">
        <v>7121794.0700000003</v>
      </c>
    </row>
    <row r="439" spans="2:4" s="236" customFormat="1" ht="12.75" customHeight="1" x14ac:dyDescent="0.2">
      <c r="B439" s="170" t="s">
        <v>486</v>
      </c>
      <c r="C439" s="211">
        <v>14042270.91</v>
      </c>
      <c r="D439" s="402">
        <v>18194661.859999999</v>
      </c>
    </row>
    <row r="440" spans="2:4" s="236" customFormat="1" ht="12.75" customHeight="1" x14ac:dyDescent="0.2">
      <c r="B440" s="170" t="s">
        <v>487</v>
      </c>
      <c r="C440" s="211">
        <v>2980.17</v>
      </c>
      <c r="D440" s="402">
        <v>4226.8</v>
      </c>
    </row>
    <row r="441" spans="2:4" s="236" customFormat="1" ht="12.75" customHeight="1" x14ac:dyDescent="0.2">
      <c r="B441" s="173" t="s">
        <v>349</v>
      </c>
      <c r="C441" s="208">
        <f>SUM(C438:C440)</f>
        <v>21074110.150000002</v>
      </c>
      <c r="D441" s="208">
        <f>SUM(D437:D440)</f>
        <v>25320682.73</v>
      </c>
    </row>
    <row r="442" spans="2:4" s="236" customFormat="1" ht="12.75" customHeight="1" x14ac:dyDescent="0.2">
      <c r="B442" s="170"/>
      <c r="C442" s="211"/>
      <c r="D442" s="211"/>
    </row>
    <row r="443" spans="2:4" s="236" customFormat="1" ht="12.75" customHeight="1" x14ac:dyDescent="0.2">
      <c r="B443" s="170"/>
      <c r="C443" s="211"/>
      <c r="D443" s="211"/>
    </row>
    <row r="444" spans="2:4" s="236" customFormat="1" ht="12.75" customHeight="1" x14ac:dyDescent="0.2">
      <c r="B444" s="170"/>
      <c r="C444" s="211"/>
      <c r="D444" s="211"/>
    </row>
    <row r="445" spans="2:4" s="236" customFormat="1" ht="12.75" customHeight="1" x14ac:dyDescent="0.2">
      <c r="B445" s="173" t="s">
        <v>488</v>
      </c>
      <c r="C445" s="208">
        <f>C419+C430+C436+C441</f>
        <v>4983294577.2799997</v>
      </c>
      <c r="D445" s="208">
        <f>+D441+D436+D430+D419</f>
        <v>4476338243.5499992</v>
      </c>
    </row>
    <row r="447" spans="2:4" s="236" customFormat="1" ht="12.75" customHeight="1" x14ac:dyDescent="0.2">
      <c r="B447" s="189" t="s">
        <v>489</v>
      </c>
    </row>
    <row r="448" spans="2:4" s="236" customFormat="1" ht="12.75" customHeight="1" x14ac:dyDescent="0.2">
      <c r="B448" s="122" t="s">
        <v>490</v>
      </c>
    </row>
    <row r="449" spans="2:4" s="236" customFormat="1" ht="12.75" customHeight="1" x14ac:dyDescent="0.2">
      <c r="B449" s="169" t="s">
        <v>267</v>
      </c>
    </row>
    <row r="450" spans="2:4" s="236" customFormat="1" ht="12.75" customHeight="1" x14ac:dyDescent="0.2">
      <c r="B450" s="412" t="s">
        <v>491</v>
      </c>
      <c r="C450" s="5" t="s">
        <v>492</v>
      </c>
      <c r="D450" s="3" t="s">
        <v>493</v>
      </c>
    </row>
    <row r="451" spans="2:4" s="236" customFormat="1" ht="12.75" customHeight="1" x14ac:dyDescent="0.2">
      <c r="B451" s="412"/>
      <c r="C451" s="5" t="s">
        <v>219</v>
      </c>
      <c r="D451" s="3" t="s">
        <v>494</v>
      </c>
    </row>
    <row r="452" spans="2:4" s="236" customFormat="1" ht="12.75" customHeight="1" x14ac:dyDescent="0.2">
      <c r="B452" s="81" t="s">
        <v>495</v>
      </c>
      <c r="C452" s="211">
        <v>204511.82</v>
      </c>
      <c r="D452" s="211">
        <v>98115.46</v>
      </c>
    </row>
    <row r="453" spans="2:4" s="236" customFormat="1" ht="12.75" customHeight="1" x14ac:dyDescent="0.2">
      <c r="B453" s="81" t="s">
        <v>496</v>
      </c>
      <c r="C453" s="211">
        <v>5452914.3499999996</v>
      </c>
      <c r="D453" s="211">
        <v>10000783.869999999</v>
      </c>
    </row>
    <row r="454" spans="2:4" s="236" customFormat="1" ht="12.75" customHeight="1" x14ac:dyDescent="0.2">
      <c r="B454" s="81" t="s">
        <v>497</v>
      </c>
      <c r="C454" s="211">
        <v>25485.49</v>
      </c>
      <c r="D454" s="211">
        <v>301262.94</v>
      </c>
    </row>
    <row r="455" spans="2:4" s="236" customFormat="1" ht="12.75" customHeight="1" x14ac:dyDescent="0.2">
      <c r="B455" s="81" t="s">
        <v>498</v>
      </c>
      <c r="C455" s="211">
        <v>143756.35999999999</v>
      </c>
      <c r="D455" s="211">
        <v>6657461.9900000002</v>
      </c>
    </row>
    <row r="456" spans="2:4" s="236" customFormat="1" ht="12.75" customHeight="1" x14ac:dyDescent="0.2">
      <c r="B456" s="81" t="s">
        <v>499</v>
      </c>
      <c r="C456" s="211"/>
      <c r="D456" s="211">
        <v>0</v>
      </c>
    </row>
    <row r="457" spans="2:4" s="236" customFormat="1" ht="12.75" customHeight="1" x14ac:dyDescent="0.2">
      <c r="B457" s="81" t="s">
        <v>500</v>
      </c>
      <c r="C457" s="211"/>
      <c r="D457" s="211">
        <v>0</v>
      </c>
    </row>
    <row r="458" spans="2:4" s="236" customFormat="1" ht="12.75" customHeight="1" x14ac:dyDescent="0.2">
      <c r="B458" s="81" t="s">
        <v>768</v>
      </c>
      <c r="C458" s="211">
        <v>12222442.32</v>
      </c>
      <c r="D458" s="211">
        <v>0</v>
      </c>
    </row>
    <row r="459" spans="2:4" s="236" customFormat="1" ht="12.75" customHeight="1" x14ac:dyDescent="0.2">
      <c r="B459" s="81" t="s">
        <v>501</v>
      </c>
      <c r="C459" s="211">
        <v>3345060</v>
      </c>
      <c r="D459" s="211"/>
    </row>
    <row r="460" spans="2:4" s="236" customFormat="1" ht="12.75" customHeight="1" x14ac:dyDescent="0.2">
      <c r="B460" s="2" t="s">
        <v>466</v>
      </c>
      <c r="C460" s="199">
        <f>SUM(C452:C459)</f>
        <v>21394170.34</v>
      </c>
      <c r="D460" s="199">
        <f>SUM(D452:D459)</f>
        <v>17057624.259999998</v>
      </c>
    </row>
    <row r="461" spans="2:4" s="236" customFormat="1" ht="12.75" customHeight="1" x14ac:dyDescent="0.2"/>
    <row r="462" spans="2:4" s="236" customFormat="1" ht="12.75" customHeight="1" x14ac:dyDescent="0.2">
      <c r="B462" s="248" t="s">
        <v>502</v>
      </c>
    </row>
    <row r="463" spans="2:4" s="236" customFormat="1" ht="13.5" customHeight="1" x14ac:dyDescent="0.2">
      <c r="B463" s="249" t="s">
        <v>267</v>
      </c>
    </row>
    <row r="464" spans="2:4" s="236" customFormat="1" ht="12.75" customHeight="1" x14ac:dyDescent="0.2">
      <c r="B464" s="422" t="s">
        <v>491</v>
      </c>
      <c r="C464" s="250" t="s">
        <v>492</v>
      </c>
      <c r="D464" s="251" t="s">
        <v>493</v>
      </c>
    </row>
    <row r="465" spans="2:4" s="236" customFormat="1" ht="13.5" customHeight="1" x14ac:dyDescent="0.2">
      <c r="B465" s="422"/>
      <c r="C465" s="252" t="s">
        <v>219</v>
      </c>
      <c r="D465" s="253" t="s">
        <v>494</v>
      </c>
    </row>
    <row r="466" spans="2:4" s="236" customFormat="1" ht="12.75" customHeight="1" x14ac:dyDescent="0.2">
      <c r="B466" s="81" t="s">
        <v>503</v>
      </c>
      <c r="C466" s="211">
        <v>764168243.55999994</v>
      </c>
      <c r="D466" s="211">
        <v>0</v>
      </c>
    </row>
    <row r="467" spans="2:4" s="236" customFormat="1" ht="12.75" customHeight="1" x14ac:dyDescent="0.2">
      <c r="B467" s="81" t="s">
        <v>504</v>
      </c>
      <c r="C467" s="211">
        <v>2098341944.52</v>
      </c>
      <c r="D467" s="211">
        <v>364245256.58999997</v>
      </c>
    </row>
    <row r="468" spans="2:4" s="236" customFormat="1" ht="12.75" customHeight="1" x14ac:dyDescent="0.2">
      <c r="B468" s="81" t="s">
        <v>505</v>
      </c>
      <c r="C468" s="211">
        <v>61252822</v>
      </c>
      <c r="D468" s="211">
        <v>3016662134.96</v>
      </c>
    </row>
    <row r="469" spans="2:4" s="236" customFormat="1" ht="12.75" customHeight="1" x14ac:dyDescent="0.2">
      <c r="B469" s="81" t="s">
        <v>506</v>
      </c>
      <c r="C469" s="211">
        <v>123802479.48999999</v>
      </c>
      <c r="D469" s="211">
        <v>72367233</v>
      </c>
    </row>
    <row r="470" spans="2:4" s="236" customFormat="1" ht="12.75" customHeight="1" x14ac:dyDescent="0.2">
      <c r="B470" s="81" t="s">
        <v>507</v>
      </c>
      <c r="C470" s="211"/>
      <c r="D470" s="211">
        <v>600075508.42999995</v>
      </c>
    </row>
    <row r="471" spans="2:4" s="236" customFormat="1" ht="12.75" customHeight="1" x14ac:dyDescent="0.2">
      <c r="B471" s="81" t="s">
        <v>508</v>
      </c>
      <c r="C471" s="211">
        <v>574664806</v>
      </c>
      <c r="D471" s="211">
        <v>157189188</v>
      </c>
    </row>
    <row r="472" spans="2:4" s="236" customFormat="1" ht="12.75" customHeight="1" x14ac:dyDescent="0.2">
      <c r="B472" s="81" t="s">
        <v>509</v>
      </c>
      <c r="C472" s="211">
        <v>902624397.11000001</v>
      </c>
      <c r="D472" s="211">
        <v>141028059</v>
      </c>
    </row>
    <row r="473" spans="2:4" s="236" customFormat="1" ht="12.75" customHeight="1" x14ac:dyDescent="0.2">
      <c r="B473" s="254" t="s">
        <v>510</v>
      </c>
      <c r="C473" s="211">
        <v>19747911</v>
      </c>
      <c r="D473" s="199">
        <v>5135221</v>
      </c>
    </row>
    <row r="474" spans="2:4" s="236" customFormat="1" ht="13.5" customHeight="1" x14ac:dyDescent="0.2">
      <c r="B474" s="255"/>
      <c r="C474" s="256"/>
      <c r="D474" s="256"/>
    </row>
    <row r="475" spans="2:4" s="236" customFormat="1" ht="13.5" customHeight="1" x14ac:dyDescent="0.2">
      <c r="B475" s="257" t="s">
        <v>466</v>
      </c>
      <c r="C475" s="258">
        <f>SUM(C466:C474)</f>
        <v>4544602603.6799994</v>
      </c>
      <c r="D475" s="258">
        <f>SUM(D466:D474)</f>
        <v>4356702600.9799995</v>
      </c>
    </row>
    <row r="476" spans="2:4" s="236" customFormat="1" ht="12.75" customHeight="1" x14ac:dyDescent="0.2">
      <c r="B476" s="259"/>
      <c r="C476" s="260"/>
      <c r="D476" s="260"/>
    </row>
    <row r="477" spans="2:4" s="236" customFormat="1" ht="12.75" customHeight="1" x14ac:dyDescent="0.2">
      <c r="B477" s="122" t="s">
        <v>511</v>
      </c>
    </row>
    <row r="478" spans="2:4" s="236" customFormat="1" ht="12.75" customHeight="1" x14ac:dyDescent="0.2">
      <c r="B478" s="169" t="s">
        <v>267</v>
      </c>
    </row>
    <row r="479" spans="2:4" s="236" customFormat="1" ht="12.75" customHeight="1" x14ac:dyDescent="0.2">
      <c r="B479" s="412" t="s">
        <v>491</v>
      </c>
      <c r="C479" s="5" t="s">
        <v>492</v>
      </c>
      <c r="D479" s="3" t="s">
        <v>493</v>
      </c>
    </row>
    <row r="480" spans="2:4" s="236" customFormat="1" ht="12.75" customHeight="1" x14ac:dyDescent="0.2">
      <c r="B480" s="412"/>
      <c r="C480" s="5" t="s">
        <v>219</v>
      </c>
      <c r="D480" s="3" t="s">
        <v>494</v>
      </c>
    </row>
    <row r="481" spans="2:4" s="236" customFormat="1" ht="12.75" customHeight="1" x14ac:dyDescent="0.2">
      <c r="B481" s="81" t="s">
        <v>512</v>
      </c>
      <c r="C481" s="211"/>
      <c r="D481" s="211">
        <v>0</v>
      </c>
    </row>
    <row r="482" spans="2:4" s="236" customFormat="1" ht="12.75" customHeight="1" x14ac:dyDescent="0.2">
      <c r="B482" s="81" t="s">
        <v>513</v>
      </c>
      <c r="C482" s="211"/>
      <c r="D482" s="211">
        <v>0</v>
      </c>
    </row>
    <row r="483" spans="2:4" s="236" customFormat="1" ht="12.75" customHeight="1" x14ac:dyDescent="0.2">
      <c r="B483" s="81" t="s">
        <v>514</v>
      </c>
      <c r="C483" s="211">
        <v>2199580</v>
      </c>
      <c r="D483" s="211">
        <v>125469</v>
      </c>
    </row>
    <row r="484" spans="2:4" s="236" customFormat="1" ht="12.75" customHeight="1" x14ac:dyDescent="0.2">
      <c r="B484" s="81" t="s">
        <v>515</v>
      </c>
      <c r="C484" s="211">
        <v>376586.05</v>
      </c>
      <c r="D484" s="211">
        <v>0</v>
      </c>
    </row>
    <row r="485" spans="2:4" s="236" customFormat="1" ht="12.75" customHeight="1" x14ac:dyDescent="0.2">
      <c r="B485" s="81" t="s">
        <v>516</v>
      </c>
      <c r="C485" s="211"/>
      <c r="D485" s="236">
        <v>0</v>
      </c>
    </row>
    <row r="486" spans="2:4" s="236" customFormat="1" ht="12.75" customHeight="1" x14ac:dyDescent="0.2">
      <c r="B486" s="81" t="s">
        <v>517</v>
      </c>
      <c r="C486" s="211">
        <v>0</v>
      </c>
      <c r="D486" s="211">
        <v>5329735.01</v>
      </c>
    </row>
    <row r="487" spans="2:4" s="236" customFormat="1" ht="12.75" customHeight="1" x14ac:dyDescent="0.2">
      <c r="B487" s="81" t="s">
        <v>518</v>
      </c>
      <c r="C487" s="211">
        <v>33138000</v>
      </c>
      <c r="D487" s="211">
        <v>21835401.120000001</v>
      </c>
    </row>
    <row r="488" spans="2:4" s="236" customFormat="1" ht="12.75" customHeight="1" x14ac:dyDescent="0.2">
      <c r="B488" s="81" t="s">
        <v>519</v>
      </c>
      <c r="C488" s="211"/>
      <c r="D488" s="198"/>
    </row>
    <row r="489" spans="2:4" s="236" customFormat="1" ht="12.75" customHeight="1" x14ac:dyDescent="0.2">
      <c r="B489" s="81" t="s">
        <v>520</v>
      </c>
      <c r="C489" s="211">
        <v>13976027.220000001</v>
      </c>
      <c r="D489" s="198"/>
    </row>
    <row r="490" spans="2:4" s="236" customFormat="1" ht="12.75" customHeight="1" x14ac:dyDescent="0.2">
      <c r="B490" s="81" t="s">
        <v>521</v>
      </c>
      <c r="C490" s="211">
        <v>3502358.4</v>
      </c>
      <c r="D490" s="211"/>
    </row>
    <row r="491" spans="2:4" s="236" customFormat="1" ht="12.75" customHeight="1" x14ac:dyDescent="0.2">
      <c r="B491" s="81" t="s">
        <v>522</v>
      </c>
      <c r="C491" s="211">
        <v>111511936.94</v>
      </c>
      <c r="D491" s="211"/>
    </row>
    <row r="492" spans="2:4" s="236" customFormat="1" ht="12.75" customHeight="1" x14ac:dyDescent="0.2">
      <c r="B492" s="2" t="s">
        <v>466</v>
      </c>
      <c r="C492" s="199">
        <f>SUM(C481:C491)</f>
        <v>164704488.60999998</v>
      </c>
      <c r="D492" s="199">
        <f>SUM(D481:D491)</f>
        <v>27290605.130000003</v>
      </c>
    </row>
    <row r="493" spans="2:4" s="236" customFormat="1" ht="12.75" customHeight="1" x14ac:dyDescent="0.2"/>
    <row r="494" spans="2:4" s="236" customFormat="1" ht="12.75" customHeight="1" x14ac:dyDescent="0.2"/>
    <row r="495" spans="2:4" s="236" customFormat="1" ht="12.75" customHeight="1" x14ac:dyDescent="0.2">
      <c r="B495" s="122" t="s">
        <v>523</v>
      </c>
    </row>
    <row r="496" spans="2:4" s="236" customFormat="1" ht="12.75" customHeight="1" x14ac:dyDescent="0.2">
      <c r="B496" s="169" t="s">
        <v>267</v>
      </c>
    </row>
    <row r="497" spans="2:4" s="236" customFormat="1" ht="12.75" customHeight="1" x14ac:dyDescent="0.2">
      <c r="B497" s="412" t="s">
        <v>491</v>
      </c>
      <c r="C497" s="5" t="s">
        <v>492</v>
      </c>
      <c r="D497" s="3" t="s">
        <v>493</v>
      </c>
    </row>
    <row r="498" spans="2:4" s="236" customFormat="1" ht="12.75" customHeight="1" x14ac:dyDescent="0.2">
      <c r="B498" s="412"/>
      <c r="C498" s="5" t="s">
        <v>219</v>
      </c>
      <c r="D498" s="3" t="s">
        <v>494</v>
      </c>
    </row>
    <row r="499" spans="2:4" s="236" customFormat="1" ht="12.75" customHeight="1" x14ac:dyDescent="0.2">
      <c r="B499" s="170" t="s">
        <v>524</v>
      </c>
      <c r="C499" s="211">
        <v>124310476.84</v>
      </c>
      <c r="D499" s="211">
        <v>118986623</v>
      </c>
    </row>
    <row r="500" spans="2:4" s="236" customFormat="1" ht="12.75" customHeight="1" x14ac:dyDescent="0.2">
      <c r="B500" s="170" t="s">
        <v>525</v>
      </c>
      <c r="C500" s="211">
        <v>20511228.539999999</v>
      </c>
      <c r="D500" s="211">
        <v>19632792.809999999</v>
      </c>
    </row>
    <row r="501" spans="2:4" s="236" customFormat="1" ht="12.75" customHeight="1" x14ac:dyDescent="0.2">
      <c r="B501" s="170" t="s">
        <v>526</v>
      </c>
      <c r="C501" s="211">
        <v>10355062.65</v>
      </c>
      <c r="D501" s="211">
        <v>9911585.6799999997</v>
      </c>
    </row>
    <row r="502" spans="2:4" s="236" customFormat="1" ht="12.75" customHeight="1" x14ac:dyDescent="0.2">
      <c r="B502" s="170" t="s">
        <v>527</v>
      </c>
      <c r="C502" s="211"/>
      <c r="D502" s="211">
        <v>0</v>
      </c>
    </row>
    <row r="503" spans="2:4" s="236" customFormat="1" ht="12.75" customHeight="1" x14ac:dyDescent="0.2">
      <c r="B503" s="170" t="s">
        <v>528</v>
      </c>
      <c r="C503" s="211"/>
      <c r="D503" s="211">
        <v>0</v>
      </c>
    </row>
    <row r="504" spans="2:4" s="236" customFormat="1" ht="12.75" customHeight="1" x14ac:dyDescent="0.2">
      <c r="B504" s="170" t="s">
        <v>529</v>
      </c>
      <c r="C504" s="211">
        <v>100596962.76000001</v>
      </c>
      <c r="D504" s="211">
        <v>56371206.399999999</v>
      </c>
    </row>
    <row r="505" spans="2:4" s="236" customFormat="1" ht="12.75" customHeight="1" x14ac:dyDescent="0.2">
      <c r="B505" s="170" t="s">
        <v>530</v>
      </c>
      <c r="C505" s="211">
        <v>4106700</v>
      </c>
      <c r="D505" s="211">
        <v>7083110</v>
      </c>
    </row>
    <row r="506" spans="2:4" s="236" customFormat="1" ht="12.75" customHeight="1" x14ac:dyDescent="0.2">
      <c r="B506" s="170" t="s">
        <v>531</v>
      </c>
      <c r="C506" s="211"/>
      <c r="D506" s="211">
        <v>0</v>
      </c>
    </row>
    <row r="507" spans="2:4" s="236" customFormat="1" ht="12.75" customHeight="1" x14ac:dyDescent="0.2">
      <c r="B507" s="170" t="s">
        <v>532</v>
      </c>
      <c r="C507" s="211">
        <v>15000000</v>
      </c>
      <c r="D507" s="211">
        <v>13636363.65</v>
      </c>
    </row>
    <row r="508" spans="2:4" s="236" customFormat="1" ht="12.75" customHeight="1" x14ac:dyDescent="0.2">
      <c r="B508" s="170" t="s">
        <v>533</v>
      </c>
      <c r="C508" s="211">
        <v>8796680.1699999999</v>
      </c>
      <c r="D508" s="211">
        <v>5703960</v>
      </c>
    </row>
    <row r="509" spans="2:4" s="236" customFormat="1" ht="12.75" customHeight="1" x14ac:dyDescent="0.2">
      <c r="B509" s="170" t="s">
        <v>534</v>
      </c>
      <c r="C509" s="211">
        <v>1755674.55</v>
      </c>
      <c r="D509" s="211">
        <v>220380.92</v>
      </c>
    </row>
    <row r="510" spans="2:4" s="236" customFormat="1" ht="12.75" customHeight="1" x14ac:dyDescent="0.2">
      <c r="B510" s="170" t="s">
        <v>535</v>
      </c>
      <c r="C510" s="211">
        <v>50000</v>
      </c>
      <c r="D510" s="211">
        <v>100000</v>
      </c>
    </row>
    <row r="511" spans="2:4" s="236" customFormat="1" ht="12.75" customHeight="1" x14ac:dyDescent="0.2">
      <c r="B511" s="170" t="s">
        <v>536</v>
      </c>
      <c r="C511" s="211"/>
      <c r="D511" s="211">
        <v>0</v>
      </c>
    </row>
    <row r="512" spans="2:4" s="236" customFormat="1" ht="12.75" customHeight="1" x14ac:dyDescent="0.2">
      <c r="B512" s="170" t="s">
        <v>537</v>
      </c>
      <c r="C512" s="211"/>
      <c r="D512" s="211">
        <v>0</v>
      </c>
    </row>
    <row r="513" spans="2:6" s="236" customFormat="1" ht="12.75" customHeight="1" x14ac:dyDescent="0.2">
      <c r="B513" s="170" t="s">
        <v>538</v>
      </c>
      <c r="C513" s="211"/>
      <c r="D513" s="211">
        <v>0</v>
      </c>
    </row>
    <row r="514" spans="2:6" s="236" customFormat="1" ht="12.75" customHeight="1" x14ac:dyDescent="0.2">
      <c r="B514" s="170" t="s">
        <v>539</v>
      </c>
      <c r="C514" s="211"/>
      <c r="D514" s="211">
        <v>0</v>
      </c>
    </row>
    <row r="515" spans="2:6" s="236" customFormat="1" ht="12.75" customHeight="1" x14ac:dyDescent="0.2">
      <c r="B515" s="170" t="s">
        <v>540</v>
      </c>
      <c r="C515" s="211"/>
      <c r="D515" s="211">
        <v>0</v>
      </c>
    </row>
    <row r="516" spans="2:6" s="236" customFormat="1" ht="12.75" customHeight="1" x14ac:dyDescent="0.2">
      <c r="B516" s="170" t="s">
        <v>541</v>
      </c>
      <c r="C516" s="211"/>
      <c r="D516" s="211">
        <v>0</v>
      </c>
    </row>
    <row r="517" spans="2:6" s="236" customFormat="1" ht="12.75" customHeight="1" x14ac:dyDescent="0.2">
      <c r="B517" s="170" t="s">
        <v>542</v>
      </c>
      <c r="C517" s="211">
        <v>37589355.310000002</v>
      </c>
      <c r="D517" s="211">
        <v>0</v>
      </c>
    </row>
    <row r="518" spans="2:6" s="236" customFormat="1" ht="12.75" customHeight="1" x14ac:dyDescent="0.2">
      <c r="B518" s="170" t="s">
        <v>543</v>
      </c>
      <c r="C518" s="211"/>
      <c r="D518" s="211">
        <v>31501533.109999999</v>
      </c>
    </row>
    <row r="519" spans="2:6" s="236" customFormat="1" ht="12.75" customHeight="1" x14ac:dyDescent="0.2">
      <c r="B519" s="173" t="s">
        <v>466</v>
      </c>
      <c r="C519" s="208">
        <f>SUM(C499:C518)</f>
        <v>323072140.82000005</v>
      </c>
      <c r="D519" s="208">
        <f>SUM(D499:D518)</f>
        <v>263147555.56999999</v>
      </c>
      <c r="E519" s="261"/>
      <c r="F519" s="261"/>
    </row>
    <row r="520" spans="2:6" s="236" customFormat="1" ht="12.75" customHeight="1" x14ac:dyDescent="0.2">
      <c r="B520" s="262"/>
      <c r="C520" s="239"/>
      <c r="D520" s="239"/>
    </row>
    <row r="521" spans="2:6" s="236" customFormat="1" ht="12.75" customHeight="1" x14ac:dyDescent="0.2">
      <c r="B521" s="262"/>
      <c r="C521" s="263"/>
      <c r="D521" s="239"/>
    </row>
    <row r="524" spans="2:6" ht="15" customHeight="1" x14ac:dyDescent="0.25">
      <c r="B524" s="416" t="s">
        <v>544</v>
      </c>
      <c r="C524" s="416"/>
      <c r="D524" s="416"/>
      <c r="E524" s="416"/>
      <c r="F524" s="416"/>
    </row>
    <row r="525" spans="2:6" x14ac:dyDescent="0.25">
      <c r="B525" s="409" t="s">
        <v>267</v>
      </c>
      <c r="C525" s="409"/>
      <c r="D525" s="409"/>
      <c r="E525" s="409"/>
      <c r="F525" s="409"/>
    </row>
    <row r="526" spans="2:6" x14ac:dyDescent="0.25">
      <c r="B526" s="264" t="s">
        <v>545</v>
      </c>
      <c r="C526" s="264"/>
      <c r="D526" s="264"/>
      <c r="E526" s="237"/>
      <c r="F526" s="123"/>
    </row>
    <row r="527" spans="2:6" x14ac:dyDescent="0.25">
      <c r="B527" s="265"/>
      <c r="C527" s="265"/>
      <c r="D527" s="265"/>
      <c r="E527" s="196"/>
    </row>
    <row r="528" spans="2:6" ht="24.75" customHeight="1" x14ac:dyDescent="0.25">
      <c r="B528" s="266" t="s">
        <v>491</v>
      </c>
      <c r="C528" s="6" t="s">
        <v>407</v>
      </c>
      <c r="D528" s="6" t="s">
        <v>546</v>
      </c>
    </row>
    <row r="529" spans="2:4" x14ac:dyDescent="0.25">
      <c r="B529" s="267" t="s">
        <v>547</v>
      </c>
      <c r="C529" s="211">
        <v>0</v>
      </c>
      <c r="D529" s="211">
        <v>2441886.36</v>
      </c>
    </row>
    <row r="530" spans="2:4" x14ac:dyDescent="0.25">
      <c r="B530" s="267" t="s">
        <v>548</v>
      </c>
      <c r="C530" s="211">
        <v>566517</v>
      </c>
      <c r="D530" s="211">
        <v>66517</v>
      </c>
    </row>
    <row r="531" spans="2:4" x14ac:dyDescent="0.25">
      <c r="B531" s="267" t="s">
        <v>549</v>
      </c>
      <c r="C531" s="211">
        <v>1859771</v>
      </c>
      <c r="D531" s="211">
        <v>7025743.9900000002</v>
      </c>
    </row>
    <row r="532" spans="2:4" x14ac:dyDescent="0.25">
      <c r="B532" s="267" t="s">
        <v>550</v>
      </c>
      <c r="C532" s="211">
        <v>465513.6</v>
      </c>
      <c r="D532" s="211">
        <v>1593857.37</v>
      </c>
    </row>
    <row r="533" spans="2:4" x14ac:dyDescent="0.25">
      <c r="B533" s="267" t="s">
        <v>551</v>
      </c>
      <c r="C533" s="211"/>
      <c r="D533" s="211">
        <v>0</v>
      </c>
    </row>
    <row r="534" spans="2:4" x14ac:dyDescent="0.25">
      <c r="B534" s="267" t="s">
        <v>552</v>
      </c>
      <c r="C534" s="211">
        <v>0</v>
      </c>
      <c r="D534" s="211">
        <v>0</v>
      </c>
    </row>
    <row r="535" spans="2:4" x14ac:dyDescent="0.25">
      <c r="B535" s="267" t="s">
        <v>553</v>
      </c>
      <c r="C535" s="211"/>
      <c r="D535" s="268">
        <v>0</v>
      </c>
    </row>
    <row r="536" spans="2:4" x14ac:dyDescent="0.25">
      <c r="B536" s="267" t="s">
        <v>554</v>
      </c>
      <c r="C536" s="211"/>
      <c r="D536" s="268"/>
    </row>
    <row r="537" spans="2:4" x14ac:dyDescent="0.25">
      <c r="B537" s="267" t="s">
        <v>555</v>
      </c>
      <c r="C537" s="211">
        <v>1350000</v>
      </c>
      <c r="D537" s="211"/>
    </row>
    <row r="538" spans="2:4" x14ac:dyDescent="0.25">
      <c r="B538" s="269" t="s">
        <v>556</v>
      </c>
      <c r="C538" s="270">
        <f>SUM(C529:C537)</f>
        <v>4241801.5999999996</v>
      </c>
      <c r="D538" s="270">
        <f>SUM(D529:D537)</f>
        <v>11128004.719999999</v>
      </c>
    </row>
    <row r="539" spans="2:4" x14ac:dyDescent="0.25">
      <c r="B539" s="12"/>
      <c r="C539" s="12"/>
      <c r="D539" s="12"/>
    </row>
    <row r="540" spans="2:4" x14ac:dyDescent="0.25">
      <c r="B540" s="271" t="s">
        <v>557</v>
      </c>
      <c r="C540" s="12"/>
      <c r="D540" s="12"/>
    </row>
    <row r="541" spans="2:4" ht="30" customHeight="1" x14ac:dyDescent="0.25">
      <c r="B541" s="266" t="s">
        <v>491</v>
      </c>
      <c r="C541" s="6" t="s">
        <v>407</v>
      </c>
      <c r="D541" s="6" t="s">
        <v>546</v>
      </c>
    </row>
    <row r="542" spans="2:4" x14ac:dyDescent="0.25">
      <c r="B542" s="272" t="s">
        <v>558</v>
      </c>
      <c r="C542" s="211"/>
      <c r="D542" s="402">
        <v>0</v>
      </c>
    </row>
    <row r="543" spans="2:4" x14ac:dyDescent="0.25">
      <c r="B543" s="272"/>
      <c r="C543" s="211"/>
      <c r="D543" s="211"/>
    </row>
    <row r="544" spans="2:4" x14ac:dyDescent="0.25">
      <c r="B544" s="272"/>
      <c r="C544" s="211"/>
      <c r="D544" s="211"/>
    </row>
    <row r="545" spans="2:6" x14ac:dyDescent="0.25">
      <c r="B545" s="272"/>
      <c r="C545" s="211"/>
      <c r="D545" s="211"/>
    </row>
    <row r="546" spans="2:6" x14ac:dyDescent="0.25">
      <c r="B546" s="269" t="s">
        <v>556</v>
      </c>
      <c r="C546" s="273">
        <f>SUM(C542:C545)</f>
        <v>0</v>
      </c>
      <c r="D546" s="273">
        <f>SUM(D542:D545)</f>
        <v>0</v>
      </c>
    </row>
    <row r="548" spans="2:6" x14ac:dyDescent="0.25">
      <c r="B548" s="189" t="s">
        <v>559</v>
      </c>
      <c r="C548" s="123"/>
      <c r="D548" s="123"/>
      <c r="E548" s="123"/>
      <c r="F548" s="123"/>
    </row>
    <row r="549" spans="2:6" x14ac:dyDescent="0.25">
      <c r="B549" s="409" t="s">
        <v>267</v>
      </c>
      <c r="C549" s="409"/>
      <c r="D549" s="409"/>
      <c r="E549" s="409"/>
      <c r="F549" s="409"/>
    </row>
    <row r="551" spans="2:6" x14ac:dyDescent="0.25">
      <c r="B551" s="122" t="s">
        <v>560</v>
      </c>
    </row>
    <row r="552" spans="2:6" ht="30" customHeight="1" x14ac:dyDescent="0.25">
      <c r="B552" s="266" t="s">
        <v>491</v>
      </c>
      <c r="C552" s="6" t="s">
        <v>407</v>
      </c>
      <c r="D552" s="6" t="s">
        <v>546</v>
      </c>
    </row>
    <row r="553" spans="2:6" x14ac:dyDescent="0.25">
      <c r="B553" s="274" t="s">
        <v>561</v>
      </c>
      <c r="C553" s="211"/>
      <c r="D553" s="211">
        <v>26434</v>
      </c>
    </row>
    <row r="554" spans="2:6" x14ac:dyDescent="0.25">
      <c r="B554" s="274" t="s">
        <v>562</v>
      </c>
      <c r="C554" s="211"/>
      <c r="D554" s="275">
        <v>0</v>
      </c>
    </row>
    <row r="555" spans="2:6" x14ac:dyDescent="0.25">
      <c r="B555" s="276" t="s">
        <v>563</v>
      </c>
      <c r="C555" s="211">
        <v>19330488.420000002</v>
      </c>
      <c r="D555" s="211">
        <v>10203108.689999999</v>
      </c>
    </row>
    <row r="556" spans="2:6" x14ac:dyDescent="0.25">
      <c r="B556" s="276" t="s">
        <v>564</v>
      </c>
      <c r="C556" s="211">
        <v>503718.91</v>
      </c>
      <c r="D556" s="211">
        <v>5372378.7300000004</v>
      </c>
    </row>
    <row r="557" spans="2:6" x14ac:dyDescent="0.25">
      <c r="B557" s="274" t="s">
        <v>565</v>
      </c>
      <c r="C557" s="211"/>
      <c r="D557" s="211">
        <v>0</v>
      </c>
    </row>
    <row r="558" spans="2:6" x14ac:dyDescent="0.25">
      <c r="B558" s="277" t="s">
        <v>556</v>
      </c>
      <c r="C558" s="187">
        <f>SUM(C553:C557)</f>
        <v>19834207.330000002</v>
      </c>
      <c r="D558" s="187">
        <f>SUM(D553:D557)</f>
        <v>15601921.42</v>
      </c>
      <c r="E558" s="77"/>
    </row>
    <row r="560" spans="2:6" x14ac:dyDescent="0.25">
      <c r="B560" s="122" t="s">
        <v>566</v>
      </c>
    </row>
    <row r="561" spans="1:4" ht="25.5" customHeight="1" x14ac:dyDescent="0.25">
      <c r="B561" s="278" t="s">
        <v>491</v>
      </c>
      <c r="C561" s="5" t="s">
        <v>407</v>
      </c>
      <c r="D561" s="5" t="s">
        <v>546</v>
      </c>
    </row>
    <row r="562" spans="1:4" x14ac:dyDescent="0.25">
      <c r="B562" s="124" t="s">
        <v>567</v>
      </c>
      <c r="C562" s="211"/>
      <c r="D562" s="211"/>
    </row>
    <row r="563" spans="1:4" x14ac:dyDescent="0.25">
      <c r="B563" s="124" t="s">
        <v>568</v>
      </c>
      <c r="C563" s="211"/>
      <c r="D563" s="211">
        <v>0</v>
      </c>
    </row>
    <row r="565" spans="1:4" x14ac:dyDescent="0.25">
      <c r="B565" s="83" t="s">
        <v>556</v>
      </c>
      <c r="C565" s="86">
        <f>SUM(C562:C564)</f>
        <v>0</v>
      </c>
      <c r="D565" s="86">
        <f>SUM(D562:D564)</f>
        <v>0</v>
      </c>
    </row>
    <row r="567" spans="1:4" x14ac:dyDescent="0.25">
      <c r="B567" s="122" t="s">
        <v>569</v>
      </c>
    </row>
    <row r="568" spans="1:4" x14ac:dyDescent="0.25">
      <c r="B568" s="169" t="s">
        <v>570</v>
      </c>
    </row>
    <row r="571" spans="1:4" ht="35.25" customHeight="1" x14ac:dyDescent="0.25">
      <c r="A571" s="279" t="s">
        <v>571</v>
      </c>
      <c r="B571" s="416" t="s">
        <v>572</v>
      </c>
      <c r="C571" s="416"/>
      <c r="D571" s="416"/>
    </row>
    <row r="572" spans="1:4" x14ac:dyDescent="0.25">
      <c r="B572" s="408" t="s">
        <v>573</v>
      </c>
      <c r="C572" s="408"/>
      <c r="D572" s="408"/>
    </row>
    <row r="573" spans="1:4" x14ac:dyDescent="0.25">
      <c r="B573" s="409" t="s">
        <v>429</v>
      </c>
      <c r="C573" s="409"/>
      <c r="D573" s="409"/>
    </row>
    <row r="574" spans="1:4" x14ac:dyDescent="0.25">
      <c r="B574" s="123"/>
      <c r="C574" s="123"/>
      <c r="D574" s="123"/>
    </row>
    <row r="575" spans="1:4" x14ac:dyDescent="0.25">
      <c r="B575" s="408" t="s">
        <v>574</v>
      </c>
      <c r="C575" s="408"/>
      <c r="D575" s="408"/>
    </row>
    <row r="576" spans="1:4" x14ac:dyDescent="0.25">
      <c r="B576" s="409" t="s">
        <v>429</v>
      </c>
      <c r="C576" s="409"/>
      <c r="D576" s="123"/>
    </row>
    <row r="577" spans="1:4" ht="33" customHeight="1" x14ac:dyDescent="0.25">
      <c r="B577" s="416" t="s">
        <v>575</v>
      </c>
      <c r="C577" s="416"/>
      <c r="D577" s="416"/>
    </row>
    <row r="579" spans="1:4" ht="15" customHeight="1" x14ac:dyDescent="0.25">
      <c r="B579" s="423" t="s">
        <v>576</v>
      </c>
      <c r="C579" s="423"/>
    </row>
    <row r="580" spans="1:4" x14ac:dyDescent="0.25">
      <c r="B580" s="280" t="s">
        <v>577</v>
      </c>
      <c r="C580" s="281" t="s">
        <v>578</v>
      </c>
    </row>
    <row r="581" spans="1:4" x14ac:dyDescent="0.25">
      <c r="B581" s="280" t="s">
        <v>579</v>
      </c>
      <c r="C581" s="281" t="s">
        <v>580</v>
      </c>
    </row>
    <row r="582" spans="1:4" x14ac:dyDescent="0.25">
      <c r="B582" s="280" t="s">
        <v>581</v>
      </c>
      <c r="C582" s="281" t="s">
        <v>582</v>
      </c>
    </row>
    <row r="583" spans="1:4" x14ac:dyDescent="0.25">
      <c r="B583" s="280" t="s">
        <v>583</v>
      </c>
      <c r="C583" s="281" t="s">
        <v>584</v>
      </c>
    </row>
    <row r="584" spans="1:4" x14ac:dyDescent="0.25">
      <c r="B584" s="280" t="s">
        <v>585</v>
      </c>
      <c r="C584" s="282">
        <v>45702</v>
      </c>
    </row>
    <row r="585" spans="1:4" x14ac:dyDescent="0.25">
      <c r="B585" s="280" t="s">
        <v>586</v>
      </c>
      <c r="C585" s="283">
        <v>45717</v>
      </c>
    </row>
    <row r="586" spans="1:4" x14ac:dyDescent="0.25">
      <c r="B586" s="280" t="s">
        <v>587</v>
      </c>
      <c r="C586" s="283">
        <v>46082</v>
      </c>
    </row>
    <row r="587" spans="1:4" x14ac:dyDescent="0.25">
      <c r="B587" s="280" t="s">
        <v>588</v>
      </c>
      <c r="C587" s="281">
        <v>366</v>
      </c>
    </row>
    <row r="588" spans="1:4" x14ac:dyDescent="0.25">
      <c r="B588" s="280" t="s">
        <v>589</v>
      </c>
      <c r="C588" s="284">
        <v>724762000</v>
      </c>
    </row>
    <row r="590" spans="1:4" x14ac:dyDescent="0.25">
      <c r="A590" s="279" t="s">
        <v>590</v>
      </c>
      <c r="B590" s="9" t="s">
        <v>591</v>
      </c>
      <c r="C590" s="123"/>
      <c r="D590" s="123"/>
    </row>
    <row r="591" spans="1:4" ht="32.25" customHeight="1" x14ac:dyDescent="0.25">
      <c r="B591" s="424" t="s">
        <v>592</v>
      </c>
      <c r="C591" s="424"/>
      <c r="D591" s="424"/>
    </row>
    <row r="592" spans="1:4" x14ac:dyDescent="0.25">
      <c r="B592" s="123"/>
      <c r="C592" s="123"/>
      <c r="D592" s="123"/>
    </row>
    <row r="593" spans="1:9" x14ac:dyDescent="0.25">
      <c r="A593" s="285" t="s">
        <v>593</v>
      </c>
      <c r="B593" s="189" t="s">
        <v>594</v>
      </c>
      <c r="C593" s="123"/>
      <c r="D593" s="123"/>
    </row>
    <row r="594" spans="1:9" x14ac:dyDescent="0.25">
      <c r="B594" s="286" t="s">
        <v>595</v>
      </c>
      <c r="C594" s="123"/>
      <c r="D594" s="123"/>
    </row>
    <row r="596" spans="1:9" x14ac:dyDescent="0.25">
      <c r="A596" s="279" t="s">
        <v>596</v>
      </c>
      <c r="B596" s="122" t="s">
        <v>597</v>
      </c>
      <c r="C596" s="123"/>
      <c r="D596" s="123"/>
    </row>
    <row r="597" spans="1:9" ht="25.5" customHeight="1" x14ac:dyDescent="0.25">
      <c r="B597" s="169" t="s">
        <v>598</v>
      </c>
      <c r="C597" s="123"/>
      <c r="D597" s="123"/>
    </row>
    <row r="598" spans="1:9" x14ac:dyDescent="0.25">
      <c r="B598" s="123"/>
      <c r="C598" s="123"/>
      <c r="D598" s="123"/>
    </row>
    <row r="599" spans="1:9" x14ac:dyDescent="0.25">
      <c r="A599" s="279" t="s">
        <v>599</v>
      </c>
      <c r="B599" s="237" t="s">
        <v>600</v>
      </c>
      <c r="C599" s="123"/>
      <c r="D599" s="123"/>
    </row>
    <row r="600" spans="1:9" x14ac:dyDescent="0.25">
      <c r="B600" s="169" t="s">
        <v>429</v>
      </c>
      <c r="C600" s="123"/>
      <c r="D600" s="123"/>
    </row>
    <row r="601" spans="1:9" x14ac:dyDescent="0.25">
      <c r="B601" s="123"/>
      <c r="C601" s="123"/>
      <c r="D601" s="123"/>
    </row>
    <row r="602" spans="1:9" x14ac:dyDescent="0.25">
      <c r="A602" s="279" t="s">
        <v>601</v>
      </c>
      <c r="B602" s="122" t="s">
        <v>602</v>
      </c>
      <c r="C602" s="123"/>
      <c r="D602" s="123"/>
    </row>
    <row r="603" spans="1:9" x14ac:dyDescent="0.25">
      <c r="B603" s="286" t="s">
        <v>603</v>
      </c>
      <c r="C603" s="123"/>
      <c r="D603" s="123"/>
    </row>
    <row r="605" spans="1:9" x14ac:dyDescent="0.25">
      <c r="B605" s="287"/>
    </row>
    <row r="606" spans="1:9" x14ac:dyDescent="0.25">
      <c r="B606" s="288"/>
    </row>
    <row r="607" spans="1:9" x14ac:dyDescent="0.25">
      <c r="A607" s="425" t="s">
        <v>604</v>
      </c>
      <c r="B607" s="425"/>
      <c r="C607" s="425"/>
      <c r="D607" s="425"/>
      <c r="E607" s="425"/>
      <c r="F607" s="425"/>
      <c r="G607" s="425"/>
      <c r="H607" s="425"/>
      <c r="I607" s="425"/>
    </row>
    <row r="608" spans="1:9" x14ac:dyDescent="0.25">
      <c r="A608" s="426" t="s">
        <v>605</v>
      </c>
      <c r="B608" s="426"/>
      <c r="C608" s="426"/>
      <c r="D608" s="426"/>
      <c r="E608" s="426"/>
      <c r="F608" s="426"/>
      <c r="G608" s="426"/>
      <c r="H608" s="426"/>
      <c r="I608" s="426"/>
    </row>
    <row r="609" spans="1:9" ht="6" customHeight="1" x14ac:dyDescent="0.25">
      <c r="H609" s="289"/>
      <c r="I609" s="290"/>
    </row>
    <row r="610" spans="1:9" x14ac:dyDescent="0.25">
      <c r="A610" s="291" t="s">
        <v>606</v>
      </c>
      <c r="B610" s="291"/>
      <c r="C610" s="291"/>
      <c r="D610" s="291"/>
      <c r="E610" s="291"/>
      <c r="F610" s="291"/>
      <c r="G610" s="291"/>
      <c r="H610" s="292"/>
      <c r="I610" s="293"/>
    </row>
    <row r="612" spans="1:9" x14ac:dyDescent="0.25">
      <c r="A612" s="294" t="s">
        <v>607</v>
      </c>
      <c r="B612" s="294"/>
      <c r="C612" s="294" t="s">
        <v>584</v>
      </c>
      <c r="D612" s="294"/>
      <c r="E612" s="294"/>
      <c r="F612" s="294"/>
      <c r="G612" s="295"/>
      <c r="H612" s="296"/>
      <c r="I612" s="290"/>
    </row>
    <row r="613" spans="1:9" x14ac:dyDescent="0.25">
      <c r="A613" s="294" t="s">
        <v>608</v>
      </c>
      <c r="B613" s="294"/>
      <c r="C613" s="294" t="s">
        <v>609</v>
      </c>
      <c r="D613" s="294"/>
      <c r="E613" s="294"/>
      <c r="F613" s="294"/>
      <c r="G613" s="295"/>
      <c r="H613" s="296"/>
      <c r="I613" s="290"/>
    </row>
    <row r="614" spans="1:9" x14ac:dyDescent="0.25">
      <c r="A614" s="294" t="s">
        <v>610</v>
      </c>
      <c r="B614" s="294"/>
      <c r="C614" s="294" t="s">
        <v>611</v>
      </c>
      <c r="D614" s="294"/>
      <c r="E614" s="294"/>
      <c r="F614" s="294"/>
      <c r="G614" s="295"/>
      <c r="H614" s="296"/>
      <c r="I614" s="290"/>
    </row>
    <row r="615" spans="1:9" x14ac:dyDescent="0.25">
      <c r="A615" s="294" t="s">
        <v>612</v>
      </c>
      <c r="B615" s="294"/>
      <c r="C615" s="297">
        <v>8003</v>
      </c>
      <c r="D615" s="294"/>
      <c r="E615" s="294"/>
      <c r="F615" s="294"/>
      <c r="G615" s="294"/>
      <c r="H615" s="296"/>
      <c r="I615" s="290"/>
    </row>
    <row r="616" spans="1:9" x14ac:dyDescent="0.25">
      <c r="A616" s="294" t="s">
        <v>613</v>
      </c>
      <c r="B616" s="294"/>
      <c r="C616" s="298" t="s">
        <v>614</v>
      </c>
      <c r="D616" s="298"/>
      <c r="E616" s="298"/>
      <c r="F616" s="298"/>
      <c r="G616" s="295"/>
      <c r="H616" s="296"/>
      <c r="I616" s="290"/>
    </row>
    <row r="617" spans="1:9" x14ac:dyDescent="0.25">
      <c r="A617" s="294" t="s">
        <v>615</v>
      </c>
      <c r="B617" s="294"/>
      <c r="C617" s="299" t="s">
        <v>616</v>
      </c>
      <c r="D617" s="294"/>
      <c r="E617" s="294"/>
      <c r="F617" s="294"/>
      <c r="G617" s="295"/>
      <c r="H617" s="296"/>
      <c r="I617" s="290"/>
    </row>
    <row r="618" spans="1:9" x14ac:dyDescent="0.25">
      <c r="A618" s="294" t="s">
        <v>617</v>
      </c>
      <c r="B618" s="294"/>
      <c r="C618" s="294" t="s">
        <v>618</v>
      </c>
      <c r="D618" s="294"/>
      <c r="E618" s="294"/>
      <c r="F618" s="294"/>
      <c r="G618" s="295"/>
      <c r="H618" s="296"/>
      <c r="I618" s="290"/>
    </row>
    <row r="619" spans="1:9" x14ac:dyDescent="0.25">
      <c r="A619" s="294" t="s">
        <v>619</v>
      </c>
      <c r="B619" s="294"/>
      <c r="C619" s="294" t="s">
        <v>620</v>
      </c>
      <c r="D619" s="294"/>
      <c r="E619" s="294"/>
      <c r="F619" s="294"/>
      <c r="G619" s="295"/>
      <c r="H619" s="296"/>
      <c r="I619" s="290"/>
    </row>
    <row r="620" spans="1:9" x14ac:dyDescent="0.25">
      <c r="A620" s="294" t="s">
        <v>621</v>
      </c>
      <c r="B620" s="294"/>
      <c r="C620" s="298" t="s">
        <v>614</v>
      </c>
      <c r="D620" s="298"/>
      <c r="E620" s="298"/>
      <c r="F620" s="298"/>
      <c r="G620" s="295"/>
      <c r="H620" s="296"/>
      <c r="I620" s="290"/>
    </row>
    <row r="621" spans="1:9" ht="8.25" customHeight="1" x14ac:dyDescent="0.25">
      <c r="A621" s="295"/>
      <c r="B621" s="295"/>
      <c r="C621" s="295"/>
      <c r="D621" s="295"/>
      <c r="E621" s="295"/>
      <c r="F621" s="295"/>
      <c r="G621" s="295"/>
      <c r="H621" s="296"/>
      <c r="I621" s="290"/>
    </row>
    <row r="622" spans="1:9" x14ac:dyDescent="0.25">
      <c r="A622" s="291" t="s">
        <v>622</v>
      </c>
      <c r="B622" s="291"/>
      <c r="C622" s="291"/>
      <c r="D622" s="291"/>
      <c r="E622" s="291"/>
      <c r="F622" s="291"/>
      <c r="G622" s="291"/>
      <c r="H622" s="292"/>
      <c r="I622" s="293"/>
    </row>
    <row r="623" spans="1:9" ht="8.25" customHeight="1" x14ac:dyDescent="0.25">
      <c r="A623" s="300"/>
      <c r="B623" s="300"/>
      <c r="C623" s="300"/>
      <c r="D623" s="300"/>
      <c r="E623" s="300"/>
      <c r="F623" s="300"/>
      <c r="G623" s="300"/>
      <c r="H623" s="301"/>
      <c r="I623" s="290"/>
    </row>
    <row r="624" spans="1:9" ht="29.25" customHeight="1" x14ac:dyDescent="0.25">
      <c r="A624" s="427" t="s">
        <v>196</v>
      </c>
      <c r="B624" s="427"/>
      <c r="C624" s="427"/>
      <c r="D624" s="427"/>
      <c r="E624" s="427"/>
      <c r="F624" s="427"/>
      <c r="G624" s="427"/>
      <c r="H624" s="427"/>
      <c r="I624" s="427"/>
    </row>
    <row r="625" spans="1:9" ht="51" customHeight="1" x14ac:dyDescent="0.25">
      <c r="A625" s="428" t="s">
        <v>197</v>
      </c>
      <c r="B625" s="428"/>
      <c r="C625" s="428"/>
      <c r="D625" s="428"/>
      <c r="E625" s="428"/>
      <c r="F625" s="428"/>
      <c r="G625" s="428"/>
      <c r="H625" s="428"/>
      <c r="I625" s="428"/>
    </row>
    <row r="626" spans="1:9" ht="29.25" customHeight="1" x14ac:dyDescent="0.25">
      <c r="A626" s="428" t="s">
        <v>198</v>
      </c>
      <c r="B626" s="428"/>
      <c r="C626" s="428"/>
      <c r="D626" s="428"/>
      <c r="E626" s="428"/>
      <c r="F626" s="428"/>
      <c r="G626" s="428"/>
      <c r="H626" s="428"/>
      <c r="I626" s="428"/>
    </row>
    <row r="627" spans="1:9" ht="48" customHeight="1" x14ac:dyDescent="0.25">
      <c r="A627" s="428" t="s">
        <v>199</v>
      </c>
      <c r="B627" s="428"/>
      <c r="C627" s="428"/>
      <c r="D627" s="428"/>
      <c r="E627" s="428"/>
      <c r="F627" s="428"/>
      <c r="G627" s="428"/>
      <c r="H627" s="428"/>
      <c r="I627" s="428"/>
    </row>
    <row r="628" spans="1:9" ht="37.5" customHeight="1" x14ac:dyDescent="0.25">
      <c r="A628" s="429" t="s">
        <v>623</v>
      </c>
      <c r="B628" s="429"/>
      <c r="C628" s="429"/>
      <c r="D628" s="429"/>
      <c r="E628" s="429"/>
      <c r="F628" s="429"/>
      <c r="G628" s="429"/>
      <c r="H628" s="429"/>
      <c r="I628" s="429"/>
    </row>
    <row r="629" spans="1:9" x14ac:dyDescent="0.25">
      <c r="A629" s="429"/>
      <c r="B629" s="429"/>
      <c r="C629" s="429"/>
      <c r="D629" s="429"/>
      <c r="E629" s="429"/>
      <c r="F629" s="429"/>
      <c r="G629" s="429"/>
      <c r="H629" s="429"/>
      <c r="I629" s="429"/>
    </row>
    <row r="630" spans="1:9" x14ac:dyDescent="0.25">
      <c r="A630" s="429"/>
      <c r="B630" s="429"/>
      <c r="C630" s="429"/>
      <c r="D630" s="429"/>
      <c r="E630" s="429"/>
      <c r="F630" s="429"/>
      <c r="G630" s="429"/>
      <c r="H630" s="429"/>
      <c r="I630" s="429"/>
    </row>
    <row r="631" spans="1:9" ht="28.5" customHeight="1" x14ac:dyDescent="0.25">
      <c r="A631" s="429"/>
      <c r="B631" s="429"/>
      <c r="C631" s="429"/>
      <c r="D631" s="429"/>
      <c r="E631" s="429"/>
      <c r="F631" s="429"/>
      <c r="G631" s="429"/>
      <c r="H631" s="429"/>
      <c r="I631" s="429"/>
    </row>
    <row r="632" spans="1:9" ht="9" customHeight="1" x14ac:dyDescent="0.25">
      <c r="A632" s="303"/>
      <c r="B632" s="430"/>
      <c r="C632" s="430"/>
      <c r="D632" s="430"/>
      <c r="E632" s="430"/>
      <c r="F632" s="430"/>
      <c r="G632" s="430"/>
      <c r="H632" s="430"/>
      <c r="I632" s="290"/>
    </row>
    <row r="633" spans="1:9" x14ac:dyDescent="0.25">
      <c r="A633" s="291" t="s">
        <v>624</v>
      </c>
      <c r="B633" s="291"/>
      <c r="C633" s="291"/>
      <c r="D633" s="291"/>
      <c r="E633" s="291"/>
      <c r="F633" s="291"/>
      <c r="G633" s="291"/>
      <c r="H633" s="292"/>
      <c r="I633" s="293"/>
    </row>
    <row r="634" spans="1:9" x14ac:dyDescent="0.25">
      <c r="A634" s="303"/>
      <c r="B634" s="304"/>
      <c r="H634" s="305"/>
      <c r="I634" s="290"/>
    </row>
    <row r="635" spans="1:9" x14ac:dyDescent="0.25">
      <c r="A635" s="431" t="s">
        <v>625</v>
      </c>
      <c r="B635" s="431"/>
      <c r="C635" s="306" t="s">
        <v>626</v>
      </c>
      <c r="D635" s="306"/>
      <c r="E635" s="306"/>
      <c r="F635" s="306"/>
      <c r="G635" s="306"/>
      <c r="H635" s="307"/>
      <c r="I635" s="290"/>
    </row>
    <row r="636" spans="1:9" x14ac:dyDescent="0.25">
      <c r="A636" s="431" t="s">
        <v>627</v>
      </c>
      <c r="B636" s="431"/>
      <c r="C636" s="431"/>
      <c r="D636" s="306"/>
      <c r="E636" s="306"/>
      <c r="F636" s="306"/>
      <c r="G636" s="308"/>
      <c r="H636" s="309"/>
      <c r="I636" s="290"/>
    </row>
    <row r="637" spans="1:9" ht="14.25" customHeight="1" x14ac:dyDescent="0.25">
      <c r="A637" s="432" t="s">
        <v>445</v>
      </c>
      <c r="B637" s="432"/>
      <c r="C637" s="429" t="s">
        <v>628</v>
      </c>
      <c r="D637" s="429"/>
      <c r="E637" s="429"/>
      <c r="F637" s="429"/>
      <c r="G637" s="429"/>
      <c r="H637" s="429"/>
      <c r="I637" s="290"/>
    </row>
    <row r="638" spans="1:9" ht="14.25" customHeight="1" x14ac:dyDescent="0.25">
      <c r="A638" s="432" t="s">
        <v>629</v>
      </c>
      <c r="B638" s="432"/>
      <c r="C638" s="429" t="s">
        <v>630</v>
      </c>
      <c r="D638" s="429"/>
      <c r="E638" s="429"/>
      <c r="F638" s="429"/>
      <c r="G638" s="429"/>
      <c r="H638" s="429"/>
      <c r="I638" s="290"/>
    </row>
    <row r="639" spans="1:9" ht="14.25" customHeight="1" x14ac:dyDescent="0.25">
      <c r="A639" s="432" t="s">
        <v>631</v>
      </c>
      <c r="B639" s="432"/>
      <c r="C639" s="429" t="s">
        <v>632</v>
      </c>
      <c r="D639" s="429"/>
      <c r="E639" s="429"/>
      <c r="F639" s="429"/>
      <c r="G639" s="429"/>
      <c r="H639" s="429"/>
      <c r="I639" s="290"/>
    </row>
    <row r="640" spans="1:9" ht="14.25" customHeight="1" x14ac:dyDescent="0.25">
      <c r="A640" s="432" t="s">
        <v>633</v>
      </c>
      <c r="B640" s="432"/>
      <c r="C640" s="302" t="s">
        <v>634</v>
      </c>
      <c r="D640" s="302"/>
      <c r="E640" s="302"/>
      <c r="F640" s="302"/>
      <c r="G640" s="302"/>
      <c r="H640" s="311"/>
      <c r="I640" s="290"/>
    </row>
    <row r="641" spans="1:9" ht="14.25" customHeight="1" x14ac:dyDescent="0.25">
      <c r="A641" s="432" t="s">
        <v>633</v>
      </c>
      <c r="B641" s="432"/>
      <c r="C641" s="302" t="s">
        <v>635</v>
      </c>
      <c r="D641" s="302"/>
      <c r="E641" s="302"/>
      <c r="F641" s="302"/>
      <c r="G641" s="302"/>
      <c r="H641" s="311"/>
      <c r="I641" s="290"/>
    </row>
    <row r="642" spans="1:9" ht="6" customHeight="1" x14ac:dyDescent="0.25">
      <c r="A642" s="310"/>
      <c r="B642" s="310"/>
      <c r="C642" s="302"/>
      <c r="D642" s="302"/>
      <c r="E642" s="302"/>
      <c r="F642" s="302"/>
      <c r="G642" s="302"/>
      <c r="H642" s="311"/>
      <c r="I642" s="290"/>
    </row>
    <row r="643" spans="1:9" ht="15.75" customHeight="1" x14ac:dyDescent="0.25">
      <c r="A643" s="431" t="s">
        <v>636</v>
      </c>
      <c r="B643" s="431"/>
      <c r="C643" s="429" t="s">
        <v>637</v>
      </c>
      <c r="D643" s="429"/>
      <c r="E643" s="429"/>
      <c r="F643" s="429"/>
      <c r="G643" s="429"/>
      <c r="H643" s="311"/>
      <c r="I643" s="290"/>
    </row>
    <row r="644" spans="1:9" ht="15.75" customHeight="1" x14ac:dyDescent="0.25">
      <c r="A644" s="431" t="s">
        <v>638</v>
      </c>
      <c r="B644" s="431"/>
      <c r="C644" s="429" t="s">
        <v>639</v>
      </c>
      <c r="D644" s="429"/>
      <c r="E644" s="429"/>
      <c r="F644" s="429"/>
      <c r="G644" s="429"/>
      <c r="H644" s="311"/>
    </row>
    <row r="645" spans="1:9" ht="6" customHeight="1" x14ac:dyDescent="0.25">
      <c r="A645" s="310"/>
      <c r="B645" s="310"/>
      <c r="C645" s="302"/>
      <c r="D645" s="302"/>
      <c r="E645" s="302"/>
      <c r="F645" s="302"/>
      <c r="G645" s="302"/>
      <c r="H645" s="311"/>
    </row>
    <row r="646" spans="1:9" ht="14.25" customHeight="1" x14ac:dyDescent="0.25">
      <c r="A646" s="431" t="s">
        <v>640</v>
      </c>
      <c r="B646" s="431"/>
      <c r="C646" s="312"/>
      <c r="D646" s="312"/>
      <c r="E646" s="312"/>
      <c r="F646" s="312"/>
      <c r="G646" s="312"/>
      <c r="H646" s="313"/>
    </row>
    <row r="647" spans="1:9" ht="14.25" customHeight="1" x14ac:dyDescent="0.25">
      <c r="A647" s="432" t="s">
        <v>641</v>
      </c>
      <c r="B647" s="432"/>
      <c r="C647" s="429" t="s">
        <v>628</v>
      </c>
      <c r="D647" s="429"/>
      <c r="E647" s="429"/>
      <c r="F647" s="429"/>
      <c r="G647" s="429"/>
      <c r="H647" s="429"/>
    </row>
    <row r="648" spans="1:9" ht="14.25" customHeight="1" x14ac:dyDescent="0.25">
      <c r="A648" s="432" t="s">
        <v>629</v>
      </c>
      <c r="B648" s="432"/>
      <c r="C648" s="429" t="s">
        <v>630</v>
      </c>
      <c r="D648" s="429"/>
      <c r="E648" s="429"/>
      <c r="F648" s="429"/>
      <c r="G648" s="429"/>
      <c r="H648" s="429"/>
    </row>
    <row r="649" spans="1:9" ht="14.25" customHeight="1" x14ac:dyDescent="0.25">
      <c r="A649" s="432" t="s">
        <v>642</v>
      </c>
      <c r="B649" s="432"/>
      <c r="C649" s="310" t="s">
        <v>643</v>
      </c>
      <c r="D649" s="310"/>
      <c r="E649" s="310"/>
      <c r="F649" s="310"/>
      <c r="G649" s="312"/>
      <c r="H649" s="313"/>
    </row>
    <row r="650" spans="1:9" ht="14.25" customHeight="1" x14ac:dyDescent="0.25">
      <c r="A650" s="432" t="s">
        <v>644</v>
      </c>
      <c r="B650" s="432"/>
      <c r="C650" s="310" t="s">
        <v>645</v>
      </c>
      <c r="D650" s="310"/>
      <c r="E650" s="310"/>
      <c r="F650" s="310"/>
      <c r="G650" s="312"/>
      <c r="H650" s="313"/>
    </row>
    <row r="652" spans="1:9" x14ac:dyDescent="0.25">
      <c r="A652" s="291"/>
      <c r="B652" s="291" t="s">
        <v>646</v>
      </c>
      <c r="C652" s="291"/>
      <c r="D652" s="291"/>
      <c r="E652" s="291"/>
      <c r="F652" s="291"/>
      <c r="G652" s="291"/>
    </row>
    <row r="653" spans="1:9" ht="14.25" customHeight="1" x14ac:dyDescent="0.25"/>
    <row r="654" spans="1:9" x14ac:dyDescent="0.25">
      <c r="A654" s="431" t="s">
        <v>647</v>
      </c>
      <c r="B654" s="431"/>
      <c r="C654" s="308" t="s">
        <v>419</v>
      </c>
      <c r="D654" s="308"/>
      <c r="E654" s="308"/>
      <c r="F654" s="308"/>
      <c r="G654" s="308"/>
    </row>
    <row r="655" spans="1:9" x14ac:dyDescent="0.25">
      <c r="A655" s="431" t="s">
        <v>648</v>
      </c>
      <c r="B655" s="431"/>
      <c r="C655" s="308" t="s">
        <v>649</v>
      </c>
      <c r="D655" s="308"/>
      <c r="E655" s="308"/>
      <c r="F655" s="308"/>
      <c r="G655" s="308"/>
    </row>
    <row r="656" spans="1:9" ht="15.75" customHeight="1" x14ac:dyDescent="0.25">
      <c r="A656" s="431" t="s">
        <v>610</v>
      </c>
      <c r="B656" s="431"/>
      <c r="C656" s="314" t="s">
        <v>650</v>
      </c>
      <c r="D656" s="308"/>
      <c r="E656" s="308"/>
      <c r="F656" s="308"/>
      <c r="G656" s="308"/>
    </row>
    <row r="657" spans="1:10" x14ac:dyDescent="0.25">
      <c r="A657" s="431" t="s">
        <v>651</v>
      </c>
      <c r="B657" s="431"/>
      <c r="C657" s="308" t="s">
        <v>652</v>
      </c>
      <c r="D657" s="308"/>
      <c r="E657" s="308"/>
      <c r="F657" s="308"/>
      <c r="G657" s="308"/>
    </row>
    <row r="658" spans="1:10" x14ac:dyDescent="0.25">
      <c r="A658" s="431" t="s">
        <v>615</v>
      </c>
      <c r="B658" s="431"/>
      <c r="C658" s="308" t="s">
        <v>653</v>
      </c>
      <c r="D658" s="308"/>
      <c r="E658" s="308"/>
      <c r="F658" s="308"/>
      <c r="G658" s="308"/>
    </row>
    <row r="660" spans="1:10" x14ac:dyDescent="0.25">
      <c r="A660" s="291" t="s">
        <v>654</v>
      </c>
      <c r="B660" s="291" t="s">
        <v>655</v>
      </c>
      <c r="C660" s="291"/>
      <c r="D660" s="291"/>
      <c r="E660" s="291"/>
      <c r="F660" s="291"/>
      <c r="G660" s="291"/>
    </row>
    <row r="662" spans="1:10" x14ac:dyDescent="0.25">
      <c r="A662" s="433" t="s">
        <v>656</v>
      </c>
      <c r="B662" s="433"/>
      <c r="C662" s="433" t="s">
        <v>657</v>
      </c>
      <c r="D662" s="433"/>
      <c r="E662" s="433"/>
      <c r="F662" s="433"/>
      <c r="G662" s="433"/>
    </row>
    <row r="663" spans="1:10" x14ac:dyDescent="0.25">
      <c r="A663" s="434" t="s">
        <v>628</v>
      </c>
      <c r="B663" s="434"/>
      <c r="C663" s="434" t="s">
        <v>641</v>
      </c>
      <c r="D663" s="434"/>
      <c r="E663" s="434"/>
      <c r="F663" s="434"/>
      <c r="G663" s="434"/>
    </row>
    <row r="664" spans="1:10" x14ac:dyDescent="0.25">
      <c r="A664" s="434" t="s">
        <v>630</v>
      </c>
      <c r="B664" s="434"/>
      <c r="C664" s="434" t="s">
        <v>629</v>
      </c>
      <c r="D664" s="434"/>
      <c r="E664" s="434"/>
      <c r="F664" s="434"/>
      <c r="G664" s="434"/>
    </row>
    <row r="665" spans="1:10" x14ac:dyDescent="0.25">
      <c r="A665" s="434" t="s">
        <v>658</v>
      </c>
      <c r="B665" s="434"/>
      <c r="C665" s="434" t="s">
        <v>659</v>
      </c>
      <c r="D665" s="434"/>
      <c r="E665" s="434"/>
      <c r="F665" s="434"/>
      <c r="G665" s="434"/>
    </row>
    <row r="666" spans="1:10" x14ac:dyDescent="0.25">
      <c r="A666" s="434" t="s">
        <v>637</v>
      </c>
      <c r="B666" s="434"/>
      <c r="C666" s="434" t="s">
        <v>636</v>
      </c>
      <c r="D666" s="434"/>
      <c r="E666" s="434"/>
      <c r="F666" s="434"/>
      <c r="G666" s="434"/>
    </row>
    <row r="667" spans="1:10" x14ac:dyDescent="0.25">
      <c r="A667" s="432" t="s">
        <v>643</v>
      </c>
      <c r="B667" s="432"/>
      <c r="C667" s="315" t="s">
        <v>660</v>
      </c>
      <c r="D667" s="315"/>
      <c r="E667" s="315"/>
      <c r="F667" s="315"/>
      <c r="G667" s="315"/>
    </row>
    <row r="671" spans="1:10" x14ac:dyDescent="0.25">
      <c r="A671" s="316"/>
      <c r="B671" s="291" t="s">
        <v>661</v>
      </c>
      <c r="C671" s="291"/>
      <c r="D671" s="291"/>
      <c r="E671" s="291"/>
      <c r="F671" s="291"/>
      <c r="G671" s="291"/>
      <c r="H671" s="291"/>
      <c r="I671" s="292"/>
      <c r="J671" s="293"/>
    </row>
    <row r="672" spans="1:10" ht="14.25" customHeight="1" x14ac:dyDescent="0.25">
      <c r="A672" s="316"/>
      <c r="B672" s="435" t="s">
        <v>662</v>
      </c>
      <c r="C672" s="435"/>
      <c r="D672" s="435"/>
      <c r="E672" s="435"/>
      <c r="F672" s="435"/>
      <c r="G672" s="435"/>
      <c r="H672" s="435"/>
      <c r="I672" s="435"/>
      <c r="J672" s="435"/>
    </row>
    <row r="673" spans="1:11" x14ac:dyDescent="0.25">
      <c r="A673" s="316"/>
      <c r="B673" s="435"/>
      <c r="C673" s="435"/>
      <c r="D673" s="435"/>
      <c r="E673" s="435"/>
      <c r="F673" s="435"/>
      <c r="G673" s="435"/>
      <c r="H673" s="435"/>
      <c r="I673" s="435"/>
      <c r="J673" s="435"/>
    </row>
    <row r="674" spans="1:11" x14ac:dyDescent="0.25">
      <c r="A674" s="316"/>
      <c r="B674" s="435"/>
      <c r="C674" s="435"/>
      <c r="D674" s="435"/>
      <c r="E674" s="435"/>
      <c r="F674" s="435"/>
      <c r="G674" s="435"/>
      <c r="H674" s="435"/>
      <c r="I674" s="435"/>
      <c r="J674" s="435"/>
    </row>
    <row r="675" spans="1:11" ht="15.75" customHeight="1" x14ac:dyDescent="0.25">
      <c r="A675" s="316"/>
      <c r="B675" s="435"/>
      <c r="C675" s="435"/>
      <c r="D675" s="435"/>
      <c r="E675" s="435"/>
      <c r="F675" s="435"/>
      <c r="G675" s="435"/>
      <c r="H675" s="435"/>
      <c r="I675" s="435"/>
      <c r="J675" s="435"/>
    </row>
    <row r="676" spans="1:11" x14ac:dyDescent="0.25">
      <c r="A676" s="316"/>
      <c r="B676" s="436" t="s">
        <v>663</v>
      </c>
      <c r="C676" s="436"/>
      <c r="D676" s="317">
        <v>6500000000</v>
      </c>
      <c r="E676" s="318"/>
      <c r="F676" s="318"/>
      <c r="G676" s="318"/>
      <c r="I676" s="305"/>
      <c r="J676" s="290"/>
    </row>
    <row r="677" spans="1:11" x14ac:dyDescent="0.25">
      <c r="A677" s="316"/>
      <c r="B677" s="436" t="s">
        <v>664</v>
      </c>
      <c r="C677" s="436"/>
      <c r="D677" s="317">
        <v>4534400000</v>
      </c>
      <c r="E677" s="318"/>
      <c r="F677" s="318"/>
      <c r="G677" s="318"/>
      <c r="I677" s="305"/>
      <c r="J677" s="290"/>
    </row>
    <row r="678" spans="1:11" x14ac:dyDescent="0.25">
      <c r="A678" s="316"/>
      <c r="B678" s="436" t="s">
        <v>665</v>
      </c>
      <c r="C678" s="436"/>
      <c r="D678" s="317">
        <f>+D677</f>
        <v>4534400000</v>
      </c>
      <c r="E678" s="318"/>
      <c r="F678" s="318"/>
      <c r="G678" s="318"/>
      <c r="I678" s="305"/>
      <c r="J678" s="290"/>
    </row>
    <row r="679" spans="1:11" x14ac:dyDescent="0.25">
      <c r="A679" s="316"/>
      <c r="B679" s="436" t="s">
        <v>666</v>
      </c>
      <c r="C679" s="436"/>
      <c r="D679" s="317">
        <f>+D676-D678</f>
        <v>1965600000</v>
      </c>
      <c r="E679" s="318"/>
      <c r="F679" s="318"/>
      <c r="G679" s="318"/>
      <c r="I679" s="305"/>
      <c r="J679" s="290"/>
    </row>
    <row r="680" spans="1:11" x14ac:dyDescent="0.25">
      <c r="A680" s="316"/>
      <c r="I680" s="305"/>
      <c r="J680" s="290"/>
    </row>
    <row r="681" spans="1:11" x14ac:dyDescent="0.25">
      <c r="A681" s="316"/>
      <c r="B681" s="295" t="s">
        <v>667</v>
      </c>
      <c r="C681" s="295"/>
      <c r="D681" s="295"/>
      <c r="E681" s="295"/>
      <c r="F681" s="295"/>
      <c r="G681" s="295"/>
      <c r="H681" s="308"/>
      <c r="I681" s="305"/>
      <c r="J681" s="290"/>
    </row>
    <row r="682" spans="1:11" ht="22.5" customHeight="1" x14ac:dyDescent="0.25">
      <c r="A682" s="319" t="s">
        <v>668</v>
      </c>
      <c r="B682" s="319" t="s">
        <v>669</v>
      </c>
      <c r="C682" s="319" t="s">
        <v>670</v>
      </c>
      <c r="D682" s="319" t="s">
        <v>671</v>
      </c>
      <c r="E682" s="319" t="s">
        <v>672</v>
      </c>
      <c r="F682" s="319" t="s">
        <v>673</v>
      </c>
      <c r="G682" s="319" t="s">
        <v>674</v>
      </c>
      <c r="H682" s="319" t="s">
        <v>675</v>
      </c>
      <c r="I682" s="319" t="s">
        <v>288</v>
      </c>
      <c r="J682" s="319" t="s">
        <v>294</v>
      </c>
      <c r="K682" s="320" t="s">
        <v>676</v>
      </c>
    </row>
    <row r="683" spans="1:11" x14ac:dyDescent="0.25">
      <c r="A683" s="437" t="s">
        <v>677</v>
      </c>
      <c r="B683" s="321" t="s">
        <v>678</v>
      </c>
      <c r="C683" s="322">
        <v>5</v>
      </c>
      <c r="D683" s="323">
        <v>151</v>
      </c>
      <c r="E683" s="322">
        <v>160</v>
      </c>
      <c r="F683" s="323" t="s">
        <v>679</v>
      </c>
      <c r="G683" s="324">
        <v>10</v>
      </c>
      <c r="H683" s="323">
        <v>10</v>
      </c>
      <c r="I683" s="325">
        <v>100000</v>
      </c>
      <c r="J683" s="326">
        <v>1000000</v>
      </c>
      <c r="K683" s="327">
        <f t="shared" ref="K683:K714" si="2">J683/$D$677</f>
        <v>2.2053634438955541E-4</v>
      </c>
    </row>
    <row r="684" spans="1:11" x14ac:dyDescent="0.25">
      <c r="A684" s="437"/>
      <c r="B684" s="328" t="s">
        <v>680</v>
      </c>
      <c r="C684" s="322">
        <v>35</v>
      </c>
      <c r="D684" s="329">
        <v>182</v>
      </c>
      <c r="E684" s="322">
        <v>200</v>
      </c>
      <c r="F684" s="329" t="s">
        <v>679</v>
      </c>
      <c r="G684" s="324">
        <v>19</v>
      </c>
      <c r="H684" s="329">
        <v>19</v>
      </c>
      <c r="I684" s="325">
        <v>100000</v>
      </c>
      <c r="J684" s="330">
        <v>1900000</v>
      </c>
      <c r="K684" s="327">
        <f t="shared" si="2"/>
        <v>4.1901905434015528E-4</v>
      </c>
    </row>
    <row r="685" spans="1:11" x14ac:dyDescent="0.25">
      <c r="A685" s="437"/>
      <c r="B685" s="328" t="s">
        <v>681</v>
      </c>
      <c r="C685" s="322">
        <v>102</v>
      </c>
      <c r="D685" s="329">
        <v>1</v>
      </c>
      <c r="E685" s="322">
        <v>12</v>
      </c>
      <c r="F685" s="329" t="s">
        <v>679</v>
      </c>
      <c r="G685" s="324">
        <v>12</v>
      </c>
      <c r="H685" s="329">
        <v>12</v>
      </c>
      <c r="I685" s="325">
        <v>100000</v>
      </c>
      <c r="J685" s="330">
        <v>1200000</v>
      </c>
      <c r="K685" s="327">
        <f t="shared" si="2"/>
        <v>2.6464361326746649E-4</v>
      </c>
    </row>
    <row r="686" spans="1:11" x14ac:dyDescent="0.25">
      <c r="A686" s="438" t="s">
        <v>682</v>
      </c>
      <c r="B686" s="321" t="s">
        <v>683</v>
      </c>
      <c r="C686" s="331">
        <v>33</v>
      </c>
      <c r="D686" s="323">
        <v>103</v>
      </c>
      <c r="E686" s="331">
        <v>200</v>
      </c>
      <c r="F686" s="323" t="s">
        <v>679</v>
      </c>
      <c r="G686" s="332">
        <v>98</v>
      </c>
      <c r="H686" s="323">
        <v>98</v>
      </c>
      <c r="I686" s="333">
        <v>100000</v>
      </c>
      <c r="J686" s="326">
        <v>9800000</v>
      </c>
      <c r="K686" s="327">
        <f t="shared" si="2"/>
        <v>2.161256175017643E-3</v>
      </c>
    </row>
    <row r="687" spans="1:11" x14ac:dyDescent="0.25">
      <c r="A687" s="438"/>
      <c r="B687" s="328" t="s">
        <v>680</v>
      </c>
      <c r="C687" s="322">
        <v>34</v>
      </c>
      <c r="D687" s="329">
        <v>1</v>
      </c>
      <c r="E687" s="322">
        <v>181</v>
      </c>
      <c r="F687" s="329" t="s">
        <v>679</v>
      </c>
      <c r="G687" s="324">
        <v>181</v>
      </c>
      <c r="H687" s="329">
        <v>181</v>
      </c>
      <c r="I687" s="325">
        <v>100000</v>
      </c>
      <c r="J687" s="330">
        <v>18100000</v>
      </c>
      <c r="K687" s="327">
        <f t="shared" si="2"/>
        <v>3.9917078334509529E-3</v>
      </c>
    </row>
    <row r="688" spans="1:11" x14ac:dyDescent="0.25">
      <c r="A688" s="438"/>
      <c r="B688" s="328" t="s">
        <v>684</v>
      </c>
      <c r="C688" s="322">
        <v>57</v>
      </c>
      <c r="D688" s="329">
        <v>1</v>
      </c>
      <c r="E688" s="322">
        <v>136</v>
      </c>
      <c r="F688" s="329" t="s">
        <v>679</v>
      </c>
      <c r="G688" s="324">
        <v>136</v>
      </c>
      <c r="H688" s="329">
        <v>136</v>
      </c>
      <c r="I688" s="325">
        <v>100000</v>
      </c>
      <c r="J688" s="330">
        <v>13600000</v>
      </c>
      <c r="K688" s="327">
        <f t="shared" si="2"/>
        <v>2.9992942836979536E-3</v>
      </c>
    </row>
    <row r="689" spans="1:11" x14ac:dyDescent="0.25">
      <c r="A689" s="438"/>
      <c r="B689" s="328" t="s">
        <v>685</v>
      </c>
      <c r="C689" s="322">
        <v>71</v>
      </c>
      <c r="D689" s="329">
        <v>200</v>
      </c>
      <c r="E689" s="322">
        <v>200</v>
      </c>
      <c r="F689" s="329" t="s">
        <v>679</v>
      </c>
      <c r="G689" s="324">
        <v>1</v>
      </c>
      <c r="H689" s="329">
        <v>1</v>
      </c>
      <c r="I689" s="325">
        <v>100000</v>
      </c>
      <c r="J689" s="330">
        <v>100000</v>
      </c>
      <c r="K689" s="327">
        <f t="shared" si="2"/>
        <v>2.2053634438955541E-5</v>
      </c>
    </row>
    <row r="690" spans="1:11" x14ac:dyDescent="0.25">
      <c r="A690" s="438"/>
      <c r="B690" s="328" t="s">
        <v>686</v>
      </c>
      <c r="C690" s="322">
        <v>88</v>
      </c>
      <c r="D690" s="329">
        <v>54</v>
      </c>
      <c r="E690" s="322">
        <v>143</v>
      </c>
      <c r="F690" s="329" t="s">
        <v>679</v>
      </c>
      <c r="G690" s="324">
        <v>90</v>
      </c>
      <c r="H690" s="329">
        <v>90</v>
      </c>
      <c r="I690" s="325">
        <v>100000</v>
      </c>
      <c r="J690" s="330">
        <v>9000000</v>
      </c>
      <c r="K690" s="327">
        <f t="shared" si="2"/>
        <v>1.9848270995059987E-3</v>
      </c>
    </row>
    <row r="691" spans="1:11" x14ac:dyDescent="0.25">
      <c r="A691" s="438"/>
      <c r="B691" s="328" t="s">
        <v>687</v>
      </c>
      <c r="C691" s="322">
        <v>90</v>
      </c>
      <c r="D691" s="329">
        <v>1</v>
      </c>
      <c r="E691" s="322">
        <v>116</v>
      </c>
      <c r="F691" s="329" t="s">
        <v>679</v>
      </c>
      <c r="G691" s="324">
        <v>116</v>
      </c>
      <c r="H691" s="329">
        <v>116</v>
      </c>
      <c r="I691" s="325">
        <v>100000</v>
      </c>
      <c r="J691" s="330">
        <v>11600000</v>
      </c>
      <c r="K691" s="327">
        <f t="shared" si="2"/>
        <v>2.5582215949188428E-3</v>
      </c>
    </row>
    <row r="692" spans="1:11" x14ac:dyDescent="0.25">
      <c r="A692" s="438"/>
      <c r="B692" s="334" t="s">
        <v>681</v>
      </c>
      <c r="C692" s="335">
        <v>104</v>
      </c>
      <c r="D692" s="336">
        <v>2421</v>
      </c>
      <c r="E692" s="335">
        <v>2620</v>
      </c>
      <c r="F692" s="336" t="s">
        <v>679</v>
      </c>
      <c r="G692" s="337">
        <v>200</v>
      </c>
      <c r="H692" s="336">
        <v>200</v>
      </c>
      <c r="I692" s="338">
        <v>100000</v>
      </c>
      <c r="J692" s="339">
        <v>20000000</v>
      </c>
      <c r="K692" s="327">
        <f t="shared" si="2"/>
        <v>4.4107268877911082E-3</v>
      </c>
    </row>
    <row r="693" spans="1:11" x14ac:dyDescent="0.25">
      <c r="A693" s="439" t="s">
        <v>688</v>
      </c>
      <c r="B693" s="321" t="s">
        <v>689</v>
      </c>
      <c r="C693" s="331">
        <v>20</v>
      </c>
      <c r="D693" s="323">
        <v>191</v>
      </c>
      <c r="E693" s="331">
        <v>200</v>
      </c>
      <c r="F693" s="323" t="s">
        <v>679</v>
      </c>
      <c r="G693" s="332">
        <v>10</v>
      </c>
      <c r="H693" s="323">
        <v>10</v>
      </c>
      <c r="I693" s="333">
        <v>100000</v>
      </c>
      <c r="J693" s="326">
        <v>1000000</v>
      </c>
      <c r="K693" s="327">
        <f t="shared" si="2"/>
        <v>2.2053634438955541E-4</v>
      </c>
    </row>
    <row r="694" spans="1:11" x14ac:dyDescent="0.25">
      <c r="A694" s="439"/>
      <c r="B694" s="328" t="s">
        <v>684</v>
      </c>
      <c r="C694" s="322">
        <v>58</v>
      </c>
      <c r="D694" s="329">
        <v>137</v>
      </c>
      <c r="E694" s="322">
        <v>145</v>
      </c>
      <c r="F694" s="329" t="s">
        <v>679</v>
      </c>
      <c r="G694" s="324">
        <v>9</v>
      </c>
      <c r="H694" s="329">
        <v>9</v>
      </c>
      <c r="I694" s="325">
        <v>100000</v>
      </c>
      <c r="J694" s="330">
        <v>900000</v>
      </c>
      <c r="K694" s="327">
        <f t="shared" si="2"/>
        <v>1.9848270995059987E-4</v>
      </c>
    </row>
    <row r="695" spans="1:11" x14ac:dyDescent="0.25">
      <c r="A695" s="439"/>
      <c r="B695" s="328" t="s">
        <v>687</v>
      </c>
      <c r="C695" s="322">
        <v>91</v>
      </c>
      <c r="D695" s="329">
        <v>117</v>
      </c>
      <c r="E695" s="322">
        <v>126</v>
      </c>
      <c r="F695" s="329" t="s">
        <v>679</v>
      </c>
      <c r="G695" s="324">
        <v>10</v>
      </c>
      <c r="H695" s="329">
        <v>10</v>
      </c>
      <c r="I695" s="325">
        <v>100000</v>
      </c>
      <c r="J695" s="330">
        <v>1000000</v>
      </c>
      <c r="K695" s="327">
        <f t="shared" si="2"/>
        <v>2.2053634438955541E-4</v>
      </c>
    </row>
    <row r="696" spans="1:11" x14ac:dyDescent="0.25">
      <c r="A696" s="439"/>
      <c r="B696" s="334" t="s">
        <v>681</v>
      </c>
      <c r="C696" s="335">
        <v>106</v>
      </c>
      <c r="D696" s="336">
        <v>2622</v>
      </c>
      <c r="E696" s="335">
        <v>2633</v>
      </c>
      <c r="F696" s="336" t="s">
        <v>679</v>
      </c>
      <c r="G696" s="337">
        <v>12</v>
      </c>
      <c r="H696" s="336">
        <v>12</v>
      </c>
      <c r="I696" s="338">
        <v>100000</v>
      </c>
      <c r="J696" s="339">
        <v>1200000</v>
      </c>
      <c r="K696" s="327">
        <f t="shared" si="2"/>
        <v>2.6464361326746649E-4</v>
      </c>
    </row>
    <row r="697" spans="1:11" x14ac:dyDescent="0.25">
      <c r="A697" s="439" t="s">
        <v>690</v>
      </c>
      <c r="B697" s="321" t="s">
        <v>691</v>
      </c>
      <c r="C697" s="331">
        <v>15</v>
      </c>
      <c r="D697" s="323">
        <v>181</v>
      </c>
      <c r="E697" s="331">
        <v>190</v>
      </c>
      <c r="F697" s="323" t="s">
        <v>679</v>
      </c>
      <c r="G697" s="332">
        <v>10</v>
      </c>
      <c r="H697" s="323">
        <v>10</v>
      </c>
      <c r="I697" s="333">
        <v>100000</v>
      </c>
      <c r="J697" s="326">
        <v>1000000</v>
      </c>
      <c r="K697" s="327">
        <f t="shared" si="2"/>
        <v>2.2053634438955541E-4</v>
      </c>
    </row>
    <row r="698" spans="1:11" x14ac:dyDescent="0.25">
      <c r="A698" s="439"/>
      <c r="B698" s="328" t="s">
        <v>689</v>
      </c>
      <c r="C698" s="322">
        <v>18</v>
      </c>
      <c r="D698" s="329">
        <v>1</v>
      </c>
      <c r="E698" s="322">
        <v>100</v>
      </c>
      <c r="F698" s="329" t="s">
        <v>679</v>
      </c>
      <c r="G698" s="324">
        <v>100</v>
      </c>
      <c r="H698" s="329">
        <v>100</v>
      </c>
      <c r="I698" s="325">
        <v>100000</v>
      </c>
      <c r="J698" s="330">
        <v>10000000</v>
      </c>
      <c r="K698" s="327">
        <f t="shared" si="2"/>
        <v>2.2053634438955541E-3</v>
      </c>
    </row>
    <row r="699" spans="1:11" x14ac:dyDescent="0.25">
      <c r="A699" s="439"/>
      <c r="B699" s="328" t="s">
        <v>684</v>
      </c>
      <c r="C699" s="322">
        <v>59</v>
      </c>
      <c r="D699" s="329">
        <v>146</v>
      </c>
      <c r="E699" s="322">
        <v>200</v>
      </c>
      <c r="F699" s="329" t="s">
        <v>679</v>
      </c>
      <c r="G699" s="324">
        <v>55</v>
      </c>
      <c r="H699" s="329">
        <v>55</v>
      </c>
      <c r="I699" s="325">
        <v>100000</v>
      </c>
      <c r="J699" s="330">
        <v>5500000</v>
      </c>
      <c r="K699" s="327">
        <f t="shared" si="2"/>
        <v>1.2129498941425548E-3</v>
      </c>
    </row>
    <row r="700" spans="1:11" x14ac:dyDescent="0.25">
      <c r="A700" s="439"/>
      <c r="B700" s="328" t="s">
        <v>692</v>
      </c>
      <c r="C700" s="322">
        <v>60</v>
      </c>
      <c r="D700" s="329">
        <v>1</v>
      </c>
      <c r="E700" s="322">
        <v>62</v>
      </c>
      <c r="F700" s="329" t="s">
        <v>679</v>
      </c>
      <c r="G700" s="324">
        <v>62</v>
      </c>
      <c r="H700" s="329">
        <v>62</v>
      </c>
      <c r="I700" s="325">
        <v>100000</v>
      </c>
      <c r="J700" s="330">
        <v>6200000</v>
      </c>
      <c r="K700" s="327">
        <f t="shared" si="2"/>
        <v>1.3673253352152435E-3</v>
      </c>
    </row>
    <row r="701" spans="1:11" x14ac:dyDescent="0.25">
      <c r="A701" s="439"/>
      <c r="B701" s="328" t="s">
        <v>693</v>
      </c>
      <c r="C701" s="322">
        <v>74</v>
      </c>
      <c r="D701" s="329">
        <v>164</v>
      </c>
      <c r="E701" s="322">
        <v>200</v>
      </c>
      <c r="F701" s="329" t="s">
        <v>679</v>
      </c>
      <c r="G701" s="324">
        <v>37</v>
      </c>
      <c r="H701" s="329">
        <v>37</v>
      </c>
      <c r="I701" s="325">
        <v>100000</v>
      </c>
      <c r="J701" s="330">
        <v>3700000</v>
      </c>
      <c r="K701" s="327">
        <f t="shared" si="2"/>
        <v>8.1598447424135502E-4</v>
      </c>
    </row>
    <row r="702" spans="1:11" x14ac:dyDescent="0.25">
      <c r="A702" s="439"/>
      <c r="B702" s="328" t="s">
        <v>694</v>
      </c>
      <c r="C702" s="322">
        <v>75</v>
      </c>
      <c r="D702" s="329">
        <v>1</v>
      </c>
      <c r="E702" s="322">
        <v>9</v>
      </c>
      <c r="F702" s="329" t="s">
        <v>679</v>
      </c>
      <c r="G702" s="324">
        <v>9</v>
      </c>
      <c r="H702" s="329">
        <v>9</v>
      </c>
      <c r="I702" s="325">
        <v>100000</v>
      </c>
      <c r="J702" s="330">
        <v>900000</v>
      </c>
      <c r="K702" s="327">
        <f t="shared" si="2"/>
        <v>1.9848270995059987E-4</v>
      </c>
    </row>
    <row r="703" spans="1:11" x14ac:dyDescent="0.25">
      <c r="A703" s="439"/>
      <c r="B703" s="328" t="s">
        <v>687</v>
      </c>
      <c r="C703" s="322">
        <v>92</v>
      </c>
      <c r="D703" s="329">
        <v>127</v>
      </c>
      <c r="E703" s="322">
        <v>145</v>
      </c>
      <c r="F703" s="329" t="s">
        <v>679</v>
      </c>
      <c r="G703" s="324">
        <v>19</v>
      </c>
      <c r="H703" s="329">
        <v>19</v>
      </c>
      <c r="I703" s="325">
        <v>100000</v>
      </c>
      <c r="J703" s="330">
        <v>1900000</v>
      </c>
      <c r="K703" s="327">
        <f t="shared" si="2"/>
        <v>4.1901905434015528E-4</v>
      </c>
    </row>
    <row r="704" spans="1:11" x14ac:dyDescent="0.25">
      <c r="A704" s="439"/>
      <c r="B704" s="328" t="s">
        <v>695</v>
      </c>
      <c r="C704" s="322">
        <v>95</v>
      </c>
      <c r="D704" s="329">
        <v>1</v>
      </c>
      <c r="E704" s="322">
        <v>33</v>
      </c>
      <c r="F704" s="329" t="s">
        <v>679</v>
      </c>
      <c r="G704" s="324">
        <v>33</v>
      </c>
      <c r="H704" s="329">
        <v>33</v>
      </c>
      <c r="I704" s="325">
        <v>100000</v>
      </c>
      <c r="J704" s="330">
        <v>3300000</v>
      </c>
      <c r="K704" s="327">
        <f t="shared" si="2"/>
        <v>7.2776993648553286E-4</v>
      </c>
    </row>
    <row r="705" spans="1:11" x14ac:dyDescent="0.25">
      <c r="A705" s="439"/>
      <c r="B705" s="334" t="s">
        <v>681</v>
      </c>
      <c r="C705" s="335">
        <v>107</v>
      </c>
      <c r="D705" s="336">
        <v>2634</v>
      </c>
      <c r="E705" s="335">
        <v>2761</v>
      </c>
      <c r="F705" s="336" t="s">
        <v>679</v>
      </c>
      <c r="G705" s="337">
        <v>128</v>
      </c>
      <c r="H705" s="336">
        <v>128</v>
      </c>
      <c r="I705" s="338">
        <v>100000</v>
      </c>
      <c r="J705" s="339">
        <v>12800000</v>
      </c>
      <c r="K705" s="327">
        <f t="shared" si="2"/>
        <v>2.8228652081863093E-3</v>
      </c>
    </row>
    <row r="706" spans="1:11" x14ac:dyDescent="0.25">
      <c r="A706" s="437" t="s">
        <v>696</v>
      </c>
      <c r="B706" s="328" t="s">
        <v>678</v>
      </c>
      <c r="C706" s="322">
        <v>7</v>
      </c>
      <c r="D706" s="329">
        <v>166</v>
      </c>
      <c r="E706" s="322">
        <v>180</v>
      </c>
      <c r="F706" s="329" t="s">
        <v>679</v>
      </c>
      <c r="G706" s="324">
        <v>15</v>
      </c>
      <c r="H706" s="329">
        <v>15</v>
      </c>
      <c r="I706" s="325">
        <v>100000</v>
      </c>
      <c r="J706" s="330">
        <v>1500000</v>
      </c>
      <c r="K706" s="327">
        <f t="shared" si="2"/>
        <v>3.3080451658433312E-4</v>
      </c>
    </row>
    <row r="707" spans="1:11" x14ac:dyDescent="0.25">
      <c r="A707" s="437"/>
      <c r="B707" s="328" t="s">
        <v>691</v>
      </c>
      <c r="C707" s="322">
        <v>17</v>
      </c>
      <c r="D707" s="329">
        <v>200</v>
      </c>
      <c r="E707" s="322">
        <v>200</v>
      </c>
      <c r="F707" s="329" t="s">
        <v>679</v>
      </c>
      <c r="G707" s="324">
        <v>1</v>
      </c>
      <c r="H707" s="329">
        <v>1</v>
      </c>
      <c r="I707" s="325">
        <v>100000</v>
      </c>
      <c r="J707" s="330">
        <v>100000</v>
      </c>
      <c r="K707" s="327">
        <f t="shared" si="2"/>
        <v>2.2053634438955541E-5</v>
      </c>
    </row>
    <row r="708" spans="1:11" x14ac:dyDescent="0.25">
      <c r="A708" s="437"/>
      <c r="B708" s="328" t="s">
        <v>694</v>
      </c>
      <c r="C708" s="322">
        <v>78</v>
      </c>
      <c r="D708" s="329">
        <v>184</v>
      </c>
      <c r="E708" s="322">
        <v>200</v>
      </c>
      <c r="F708" s="329" t="s">
        <v>679</v>
      </c>
      <c r="G708" s="324">
        <v>17</v>
      </c>
      <c r="H708" s="329">
        <v>17</v>
      </c>
      <c r="I708" s="325">
        <v>100000</v>
      </c>
      <c r="J708" s="330">
        <v>1700000</v>
      </c>
      <c r="K708" s="327">
        <f t="shared" si="2"/>
        <v>3.749117854622442E-4</v>
      </c>
    </row>
    <row r="709" spans="1:11" x14ac:dyDescent="0.25">
      <c r="A709" s="437"/>
      <c r="B709" s="328" t="s">
        <v>697</v>
      </c>
      <c r="C709" s="322">
        <v>80</v>
      </c>
      <c r="D709" s="329">
        <v>193</v>
      </c>
      <c r="E709" s="322">
        <v>200</v>
      </c>
      <c r="F709" s="329" t="s">
        <v>679</v>
      </c>
      <c r="G709" s="324">
        <v>8</v>
      </c>
      <c r="H709" s="329">
        <v>8</v>
      </c>
      <c r="I709" s="325">
        <v>100000</v>
      </c>
      <c r="J709" s="330">
        <v>800000</v>
      </c>
      <c r="K709" s="327">
        <f t="shared" si="2"/>
        <v>1.7642907551164433E-4</v>
      </c>
    </row>
    <row r="710" spans="1:11" x14ac:dyDescent="0.25">
      <c r="A710" s="437"/>
      <c r="B710" s="328" t="s">
        <v>698</v>
      </c>
      <c r="C710" s="322">
        <v>81</v>
      </c>
      <c r="D710" s="329">
        <v>1</v>
      </c>
      <c r="E710" s="322">
        <v>6</v>
      </c>
      <c r="F710" s="329" t="s">
        <v>679</v>
      </c>
      <c r="G710" s="324">
        <v>6</v>
      </c>
      <c r="H710" s="329">
        <v>6</v>
      </c>
      <c r="I710" s="325">
        <v>100000</v>
      </c>
      <c r="J710" s="330">
        <v>600000</v>
      </c>
      <c r="K710" s="327">
        <f t="shared" si="2"/>
        <v>1.3232180663373325E-4</v>
      </c>
    </row>
    <row r="711" spans="1:11" x14ac:dyDescent="0.25">
      <c r="A711" s="437"/>
      <c r="B711" s="328" t="s">
        <v>681</v>
      </c>
      <c r="C711" s="322">
        <v>105</v>
      </c>
      <c r="D711" s="329">
        <v>2621</v>
      </c>
      <c r="E711" s="322">
        <v>2621</v>
      </c>
      <c r="F711" s="329" t="s">
        <v>679</v>
      </c>
      <c r="G711" s="324">
        <v>1</v>
      </c>
      <c r="H711" s="329">
        <v>1</v>
      </c>
      <c r="I711" s="325">
        <v>100000</v>
      </c>
      <c r="J711" s="330">
        <v>100000</v>
      </c>
      <c r="K711" s="327">
        <f t="shared" si="2"/>
        <v>2.2053634438955541E-5</v>
      </c>
    </row>
    <row r="712" spans="1:11" x14ac:dyDescent="0.25">
      <c r="A712" s="437"/>
      <c r="B712" s="328" t="s">
        <v>681</v>
      </c>
      <c r="C712" s="322">
        <v>108</v>
      </c>
      <c r="D712" s="329">
        <v>2762</v>
      </c>
      <c r="E712" s="322">
        <v>2762</v>
      </c>
      <c r="F712" s="329" t="s">
        <v>679</v>
      </c>
      <c r="G712" s="324">
        <v>1</v>
      </c>
      <c r="H712" s="329">
        <v>1</v>
      </c>
      <c r="I712" s="325">
        <v>100000</v>
      </c>
      <c r="J712" s="330">
        <v>100000</v>
      </c>
      <c r="K712" s="327">
        <f t="shared" si="2"/>
        <v>2.2053634438955541E-5</v>
      </c>
    </row>
    <row r="713" spans="1:11" x14ac:dyDescent="0.25">
      <c r="A713" s="437"/>
      <c r="B713" s="328" t="s">
        <v>699</v>
      </c>
      <c r="C713" s="322">
        <v>111</v>
      </c>
      <c r="D713" s="329">
        <v>171</v>
      </c>
      <c r="E713" s="322">
        <v>188</v>
      </c>
      <c r="F713" s="329" t="s">
        <v>679</v>
      </c>
      <c r="G713" s="324">
        <v>18</v>
      </c>
      <c r="H713" s="329">
        <v>18</v>
      </c>
      <c r="I713" s="325">
        <v>100000</v>
      </c>
      <c r="J713" s="330">
        <v>1800000</v>
      </c>
      <c r="K713" s="327">
        <f t="shared" si="2"/>
        <v>3.9696541990119974E-4</v>
      </c>
    </row>
    <row r="714" spans="1:11" x14ac:dyDescent="0.25">
      <c r="A714" s="439" t="s">
        <v>700</v>
      </c>
      <c r="B714" s="321" t="s">
        <v>678</v>
      </c>
      <c r="C714" s="331">
        <v>9</v>
      </c>
      <c r="D714" s="323">
        <v>196</v>
      </c>
      <c r="E714" s="331">
        <v>197</v>
      </c>
      <c r="F714" s="323" t="s">
        <v>679</v>
      </c>
      <c r="G714" s="332">
        <v>2</v>
      </c>
      <c r="H714" s="340">
        <v>2</v>
      </c>
      <c r="I714" s="333">
        <v>100000</v>
      </c>
      <c r="J714" s="326">
        <v>200000</v>
      </c>
      <c r="K714" s="327">
        <f t="shared" si="2"/>
        <v>4.4107268877911082E-5</v>
      </c>
    </row>
    <row r="715" spans="1:11" x14ac:dyDescent="0.25">
      <c r="A715" s="439"/>
      <c r="B715" s="328" t="s">
        <v>701</v>
      </c>
      <c r="C715" s="322">
        <v>25</v>
      </c>
      <c r="D715" s="329">
        <v>51</v>
      </c>
      <c r="E715" s="322">
        <v>191</v>
      </c>
      <c r="F715" s="329" t="s">
        <v>679</v>
      </c>
      <c r="G715" s="324">
        <v>141</v>
      </c>
      <c r="H715" s="341">
        <v>141</v>
      </c>
      <c r="I715" s="325">
        <v>100000</v>
      </c>
      <c r="J715" s="330">
        <v>14100000</v>
      </c>
      <c r="K715" s="327">
        <f t="shared" ref="K715:K746" si="3">J715/$D$677</f>
        <v>3.1095624558927313E-3</v>
      </c>
    </row>
    <row r="716" spans="1:11" x14ac:dyDescent="0.25">
      <c r="A716" s="439"/>
      <c r="B716" s="328" t="s">
        <v>692</v>
      </c>
      <c r="C716" s="322">
        <v>63</v>
      </c>
      <c r="D716" s="329">
        <v>176</v>
      </c>
      <c r="E716" s="322">
        <v>200</v>
      </c>
      <c r="F716" s="329" t="s">
        <v>679</v>
      </c>
      <c r="G716" s="324">
        <v>25</v>
      </c>
      <c r="H716" s="341">
        <v>25</v>
      </c>
      <c r="I716" s="325">
        <v>100000</v>
      </c>
      <c r="J716" s="330">
        <v>2500000</v>
      </c>
      <c r="K716" s="327">
        <f t="shared" si="3"/>
        <v>5.5134086097388853E-4</v>
      </c>
    </row>
    <row r="717" spans="1:11" x14ac:dyDescent="0.25">
      <c r="A717" s="439"/>
      <c r="B717" s="328" t="s">
        <v>702</v>
      </c>
      <c r="C717" s="322">
        <v>68</v>
      </c>
      <c r="D717" s="329">
        <v>54</v>
      </c>
      <c r="E717" s="322">
        <v>170</v>
      </c>
      <c r="F717" s="329" t="s">
        <v>679</v>
      </c>
      <c r="G717" s="324">
        <v>117</v>
      </c>
      <c r="H717" s="341">
        <v>117</v>
      </c>
      <c r="I717" s="325">
        <v>100000</v>
      </c>
      <c r="J717" s="330">
        <v>11700000</v>
      </c>
      <c r="K717" s="327">
        <f t="shared" si="3"/>
        <v>2.5802752293577983E-3</v>
      </c>
    </row>
    <row r="718" spans="1:11" x14ac:dyDescent="0.25">
      <c r="A718" s="439"/>
      <c r="B718" s="328" t="s">
        <v>695</v>
      </c>
      <c r="C718" s="322">
        <v>96</v>
      </c>
      <c r="D718" s="329">
        <v>34</v>
      </c>
      <c r="E718" s="322">
        <v>173</v>
      </c>
      <c r="F718" s="329" t="s">
        <v>679</v>
      </c>
      <c r="G718" s="324">
        <v>140</v>
      </c>
      <c r="H718" s="341">
        <v>140</v>
      </c>
      <c r="I718" s="325">
        <v>100000</v>
      </c>
      <c r="J718" s="330">
        <v>14000000</v>
      </c>
      <c r="K718" s="327">
        <f t="shared" si="3"/>
        <v>3.0875088214537758E-3</v>
      </c>
    </row>
    <row r="719" spans="1:11" x14ac:dyDescent="0.25">
      <c r="A719" s="439"/>
      <c r="B719" s="334" t="s">
        <v>699</v>
      </c>
      <c r="C719" s="335">
        <v>112</v>
      </c>
      <c r="D719" s="336">
        <v>189</v>
      </c>
      <c r="E719" s="335">
        <v>473</v>
      </c>
      <c r="F719" s="336" t="s">
        <v>679</v>
      </c>
      <c r="G719" s="337">
        <v>285</v>
      </c>
      <c r="H719" s="342">
        <v>285</v>
      </c>
      <c r="I719" s="338">
        <v>100000</v>
      </c>
      <c r="J719" s="339">
        <v>28500000</v>
      </c>
      <c r="K719" s="327">
        <f t="shared" si="3"/>
        <v>6.2852858151023292E-3</v>
      </c>
    </row>
    <row r="720" spans="1:11" x14ac:dyDescent="0.25">
      <c r="A720" s="440" t="s">
        <v>703</v>
      </c>
      <c r="B720" s="328" t="s">
        <v>704</v>
      </c>
      <c r="C720" s="322">
        <v>23</v>
      </c>
      <c r="D720" s="329">
        <v>171</v>
      </c>
      <c r="E720" s="322">
        <v>200</v>
      </c>
      <c r="F720" s="329" t="s">
        <v>679</v>
      </c>
      <c r="G720" s="324">
        <v>30</v>
      </c>
      <c r="H720" s="329">
        <v>30</v>
      </c>
      <c r="I720" s="325">
        <v>100000</v>
      </c>
      <c r="J720" s="330">
        <v>3000000</v>
      </c>
      <c r="K720" s="327">
        <f t="shared" si="3"/>
        <v>6.6160903316866623E-4</v>
      </c>
    </row>
    <row r="721" spans="1:11" x14ac:dyDescent="0.25">
      <c r="A721" s="440"/>
      <c r="B721" s="328" t="s">
        <v>692</v>
      </c>
      <c r="C721" s="322">
        <v>62</v>
      </c>
      <c r="D721" s="329">
        <v>147</v>
      </c>
      <c r="E721" s="322">
        <v>175</v>
      </c>
      <c r="F721" s="329" t="s">
        <v>679</v>
      </c>
      <c r="G721" s="324">
        <v>29</v>
      </c>
      <c r="H721" s="329">
        <v>29</v>
      </c>
      <c r="I721" s="325">
        <v>100000</v>
      </c>
      <c r="J721" s="330">
        <v>2900000</v>
      </c>
      <c r="K721" s="327">
        <f t="shared" si="3"/>
        <v>6.3955539872971069E-4</v>
      </c>
    </row>
    <row r="722" spans="1:11" x14ac:dyDescent="0.25">
      <c r="A722" s="440"/>
      <c r="B722" s="328" t="s">
        <v>687</v>
      </c>
      <c r="C722" s="322">
        <v>93</v>
      </c>
      <c r="D722" s="329">
        <v>146</v>
      </c>
      <c r="E722" s="322">
        <v>174</v>
      </c>
      <c r="F722" s="329" t="s">
        <v>679</v>
      </c>
      <c r="G722" s="324">
        <v>29</v>
      </c>
      <c r="H722" s="329">
        <v>29</v>
      </c>
      <c r="I722" s="325">
        <v>100000</v>
      </c>
      <c r="J722" s="330">
        <v>2900000</v>
      </c>
      <c r="K722" s="327">
        <f t="shared" si="3"/>
        <v>6.3955539872971069E-4</v>
      </c>
    </row>
    <row r="723" spans="1:11" x14ac:dyDescent="0.25">
      <c r="A723" s="440"/>
      <c r="B723" s="334" t="s">
        <v>699</v>
      </c>
      <c r="C723" s="335">
        <v>113</v>
      </c>
      <c r="D723" s="336">
        <v>474</v>
      </c>
      <c r="E723" s="335">
        <v>508</v>
      </c>
      <c r="F723" s="336" t="s">
        <v>679</v>
      </c>
      <c r="G723" s="337">
        <v>35</v>
      </c>
      <c r="H723" s="336">
        <v>35</v>
      </c>
      <c r="I723" s="338">
        <v>100000</v>
      </c>
      <c r="J723" s="330">
        <v>3500000</v>
      </c>
      <c r="K723" s="327">
        <f t="shared" si="3"/>
        <v>7.7187720536344394E-4</v>
      </c>
    </row>
    <row r="724" spans="1:11" x14ac:dyDescent="0.25">
      <c r="A724" s="439" t="s">
        <v>705</v>
      </c>
      <c r="B724" s="321" t="s">
        <v>691</v>
      </c>
      <c r="C724" s="331">
        <v>13</v>
      </c>
      <c r="D724" s="323">
        <v>101</v>
      </c>
      <c r="E724" s="331">
        <v>150</v>
      </c>
      <c r="F724" s="323" t="s">
        <v>679</v>
      </c>
      <c r="G724" s="332">
        <v>50</v>
      </c>
      <c r="H724" s="323">
        <v>50</v>
      </c>
      <c r="I724" s="333">
        <v>100000</v>
      </c>
      <c r="J724" s="326">
        <v>5000000</v>
      </c>
      <c r="K724" s="327">
        <f t="shared" si="3"/>
        <v>1.1026817219477771E-3</v>
      </c>
    </row>
    <row r="725" spans="1:11" x14ac:dyDescent="0.25">
      <c r="A725" s="439"/>
      <c r="B725" s="328" t="s">
        <v>704</v>
      </c>
      <c r="C725" s="322">
        <v>21</v>
      </c>
      <c r="D725" s="329">
        <v>1</v>
      </c>
      <c r="E725" s="322">
        <v>100</v>
      </c>
      <c r="F725" s="329" t="s">
        <v>679</v>
      </c>
      <c r="G725" s="324">
        <v>100</v>
      </c>
      <c r="H725" s="329">
        <v>100</v>
      </c>
      <c r="I725" s="325">
        <v>100000</v>
      </c>
      <c r="J725" s="330">
        <v>10000000</v>
      </c>
      <c r="K725" s="327">
        <f t="shared" si="3"/>
        <v>2.2053634438955541E-3</v>
      </c>
    </row>
    <row r="726" spans="1:11" x14ac:dyDescent="0.25">
      <c r="A726" s="439"/>
      <c r="B726" s="328" t="s">
        <v>692</v>
      </c>
      <c r="C726" s="322">
        <v>61</v>
      </c>
      <c r="D726" s="329">
        <v>63</v>
      </c>
      <c r="E726" s="322">
        <v>146</v>
      </c>
      <c r="F726" s="329" t="s">
        <v>679</v>
      </c>
      <c r="G726" s="324">
        <v>84</v>
      </c>
      <c r="H726" s="329">
        <v>84</v>
      </c>
      <c r="I726" s="325">
        <v>100000</v>
      </c>
      <c r="J726" s="330">
        <v>8400000</v>
      </c>
      <c r="K726" s="327">
        <f t="shared" si="3"/>
        <v>1.8525052928722655E-3</v>
      </c>
    </row>
    <row r="727" spans="1:11" x14ac:dyDescent="0.25">
      <c r="A727" s="439"/>
      <c r="B727" s="328" t="s">
        <v>706</v>
      </c>
      <c r="C727" s="322">
        <v>64</v>
      </c>
      <c r="D727" s="329">
        <v>1</v>
      </c>
      <c r="E727" s="322">
        <v>63</v>
      </c>
      <c r="F727" s="329" t="s">
        <v>679</v>
      </c>
      <c r="G727" s="324">
        <v>63</v>
      </c>
      <c r="H727" s="329">
        <v>63</v>
      </c>
      <c r="I727" s="325">
        <v>100000</v>
      </c>
      <c r="J727" s="330">
        <v>6300000</v>
      </c>
      <c r="K727" s="327">
        <f t="shared" si="3"/>
        <v>1.3893789696541991E-3</v>
      </c>
    </row>
    <row r="728" spans="1:11" x14ac:dyDescent="0.25">
      <c r="A728" s="439"/>
      <c r="B728" s="328" t="s">
        <v>685</v>
      </c>
      <c r="C728" s="322">
        <v>67</v>
      </c>
      <c r="D728" s="329">
        <v>51</v>
      </c>
      <c r="E728" s="322">
        <v>53</v>
      </c>
      <c r="F728" s="329" t="s">
        <v>679</v>
      </c>
      <c r="G728" s="324">
        <v>3</v>
      </c>
      <c r="H728" s="329">
        <v>3</v>
      </c>
      <c r="I728" s="325">
        <v>100000</v>
      </c>
      <c r="J728" s="330">
        <v>300000</v>
      </c>
      <c r="K728" s="327">
        <f t="shared" si="3"/>
        <v>6.6160903316866623E-5</v>
      </c>
    </row>
    <row r="729" spans="1:11" x14ac:dyDescent="0.25">
      <c r="A729" s="439"/>
      <c r="B729" s="328" t="s">
        <v>694</v>
      </c>
      <c r="C729" s="322">
        <v>76</v>
      </c>
      <c r="D729" s="329">
        <v>10</v>
      </c>
      <c r="E729" s="322">
        <v>100</v>
      </c>
      <c r="F729" s="329" t="s">
        <v>679</v>
      </c>
      <c r="G729" s="324">
        <v>91</v>
      </c>
      <c r="H729" s="329">
        <v>91</v>
      </c>
      <c r="I729" s="325">
        <v>100000</v>
      </c>
      <c r="J729" s="330">
        <v>9100000</v>
      </c>
      <c r="K729" s="327">
        <f t="shared" si="3"/>
        <v>2.0068807339449542E-3</v>
      </c>
    </row>
    <row r="730" spans="1:11" x14ac:dyDescent="0.25">
      <c r="A730" s="439"/>
      <c r="B730" s="328" t="s">
        <v>687</v>
      </c>
      <c r="C730" s="322">
        <v>94</v>
      </c>
      <c r="D730" s="329">
        <v>175</v>
      </c>
      <c r="E730" s="322">
        <v>200</v>
      </c>
      <c r="F730" s="329" t="s">
        <v>679</v>
      </c>
      <c r="G730" s="324">
        <v>26</v>
      </c>
      <c r="H730" s="329">
        <v>26</v>
      </c>
      <c r="I730" s="325">
        <v>100000</v>
      </c>
      <c r="J730" s="330">
        <v>2600000</v>
      </c>
      <c r="K730" s="327">
        <f t="shared" si="3"/>
        <v>5.7339449541284407E-4</v>
      </c>
    </row>
    <row r="731" spans="1:11" x14ac:dyDescent="0.25">
      <c r="A731" s="439"/>
      <c r="B731" s="328" t="s">
        <v>695</v>
      </c>
      <c r="C731" s="322">
        <v>97</v>
      </c>
      <c r="D731" s="329">
        <v>174</v>
      </c>
      <c r="E731" s="322">
        <v>200</v>
      </c>
      <c r="F731" s="329" t="s">
        <v>679</v>
      </c>
      <c r="G731" s="324">
        <v>27</v>
      </c>
      <c r="H731" s="329">
        <v>27</v>
      </c>
      <c r="I731" s="325">
        <v>100000</v>
      </c>
      <c r="J731" s="330">
        <v>2700000</v>
      </c>
      <c r="K731" s="327">
        <f t="shared" si="3"/>
        <v>5.9544812985179961E-4</v>
      </c>
    </row>
    <row r="732" spans="1:11" x14ac:dyDescent="0.25">
      <c r="A732" s="439"/>
      <c r="B732" s="334" t="s">
        <v>699</v>
      </c>
      <c r="C732" s="335">
        <v>114</v>
      </c>
      <c r="D732" s="336">
        <v>509</v>
      </c>
      <c r="E732" s="335">
        <v>682</v>
      </c>
      <c r="F732" s="336" t="s">
        <v>679</v>
      </c>
      <c r="G732" s="337">
        <v>174</v>
      </c>
      <c r="H732" s="336">
        <v>174</v>
      </c>
      <c r="I732" s="338">
        <v>100000</v>
      </c>
      <c r="J732" s="339">
        <v>17400000</v>
      </c>
      <c r="K732" s="327">
        <f t="shared" si="3"/>
        <v>3.8373323923782642E-3</v>
      </c>
    </row>
    <row r="733" spans="1:11" x14ac:dyDescent="0.25">
      <c r="A733" s="439" t="s">
        <v>707</v>
      </c>
      <c r="B733" s="343" t="s">
        <v>678</v>
      </c>
      <c r="C733" s="331">
        <v>10</v>
      </c>
      <c r="D733" s="323">
        <v>198</v>
      </c>
      <c r="E733" s="331">
        <v>199</v>
      </c>
      <c r="F733" s="323" t="s">
        <v>679</v>
      </c>
      <c r="G733" s="332">
        <v>2</v>
      </c>
      <c r="H733" s="323">
        <v>2</v>
      </c>
      <c r="I733" s="333">
        <v>100000</v>
      </c>
      <c r="J733" s="330">
        <v>200000</v>
      </c>
      <c r="K733" s="327">
        <f t="shared" si="3"/>
        <v>4.4107268877911082E-5</v>
      </c>
    </row>
    <row r="734" spans="1:11" x14ac:dyDescent="0.25">
      <c r="A734" s="439"/>
      <c r="B734" s="344" t="s">
        <v>701</v>
      </c>
      <c r="C734" s="322">
        <v>26</v>
      </c>
      <c r="D734" s="329">
        <v>192</v>
      </c>
      <c r="E734" s="322">
        <v>200</v>
      </c>
      <c r="F734" s="329" t="s">
        <v>679</v>
      </c>
      <c r="G734" s="324">
        <v>9</v>
      </c>
      <c r="H734" s="329">
        <v>9</v>
      </c>
      <c r="I734" s="325">
        <v>100000</v>
      </c>
      <c r="J734" s="330">
        <v>900000</v>
      </c>
      <c r="K734" s="327">
        <f t="shared" si="3"/>
        <v>1.9848270995059987E-4</v>
      </c>
    </row>
    <row r="735" spans="1:11" x14ac:dyDescent="0.25">
      <c r="A735" s="439"/>
      <c r="B735" s="344" t="s">
        <v>708</v>
      </c>
      <c r="C735" s="322">
        <v>27</v>
      </c>
      <c r="D735" s="329">
        <v>1</v>
      </c>
      <c r="E735" s="322">
        <v>132</v>
      </c>
      <c r="F735" s="329" t="s">
        <v>679</v>
      </c>
      <c r="G735" s="324">
        <v>132</v>
      </c>
      <c r="H735" s="329">
        <v>132</v>
      </c>
      <c r="I735" s="325">
        <v>100000</v>
      </c>
      <c r="J735" s="330">
        <v>13200000</v>
      </c>
      <c r="K735" s="327">
        <f t="shared" si="3"/>
        <v>2.9110797459421314E-3</v>
      </c>
    </row>
    <row r="736" spans="1:11" x14ac:dyDescent="0.25">
      <c r="A736" s="439"/>
      <c r="B736" s="345" t="s">
        <v>706</v>
      </c>
      <c r="C736" s="322">
        <v>65</v>
      </c>
      <c r="D736" s="329">
        <v>64</v>
      </c>
      <c r="E736" s="322">
        <v>200</v>
      </c>
      <c r="F736" s="329" t="s">
        <v>679</v>
      </c>
      <c r="G736" s="324">
        <v>137</v>
      </c>
      <c r="H736" s="329">
        <v>137</v>
      </c>
      <c r="I736" s="325">
        <v>100000</v>
      </c>
      <c r="J736" s="330">
        <v>13700000</v>
      </c>
      <c r="K736" s="327">
        <f t="shared" si="3"/>
        <v>3.0213479181369091E-3</v>
      </c>
    </row>
    <row r="737" spans="1:11" x14ac:dyDescent="0.25">
      <c r="A737" s="439"/>
      <c r="B737" s="345" t="s">
        <v>685</v>
      </c>
      <c r="C737" s="322">
        <v>69</v>
      </c>
      <c r="D737" s="329">
        <v>171</v>
      </c>
      <c r="E737" s="322">
        <v>173</v>
      </c>
      <c r="F737" s="329" t="s">
        <v>679</v>
      </c>
      <c r="G737" s="324">
        <v>3</v>
      </c>
      <c r="H737" s="329">
        <v>3</v>
      </c>
      <c r="I737" s="325">
        <v>100000</v>
      </c>
      <c r="J737" s="330">
        <v>300000</v>
      </c>
      <c r="K737" s="327">
        <f t="shared" si="3"/>
        <v>6.6160903316866623E-5</v>
      </c>
    </row>
    <row r="738" spans="1:11" x14ac:dyDescent="0.25">
      <c r="A738" s="439"/>
      <c r="B738" s="345" t="s">
        <v>694</v>
      </c>
      <c r="C738" s="322">
        <v>77</v>
      </c>
      <c r="D738" s="329">
        <v>101</v>
      </c>
      <c r="E738" s="322">
        <v>183</v>
      </c>
      <c r="F738" s="329" t="s">
        <v>679</v>
      </c>
      <c r="G738" s="324">
        <v>83</v>
      </c>
      <c r="H738" s="329">
        <v>83</v>
      </c>
      <c r="I738" s="325">
        <v>100000</v>
      </c>
      <c r="J738" s="330">
        <v>8300000</v>
      </c>
      <c r="K738" s="327">
        <f t="shared" si="3"/>
        <v>1.8304516584333099E-3</v>
      </c>
    </row>
    <row r="739" spans="1:11" x14ac:dyDescent="0.25">
      <c r="A739" s="439"/>
      <c r="B739" s="345" t="s">
        <v>686</v>
      </c>
      <c r="C739" s="322">
        <v>89</v>
      </c>
      <c r="D739" s="329">
        <v>144</v>
      </c>
      <c r="E739" s="322">
        <v>200</v>
      </c>
      <c r="F739" s="329" t="s">
        <v>679</v>
      </c>
      <c r="G739" s="324">
        <v>57</v>
      </c>
      <c r="H739" s="329">
        <v>57</v>
      </c>
      <c r="I739" s="325">
        <v>100000</v>
      </c>
      <c r="J739" s="330">
        <v>5700000</v>
      </c>
      <c r="K739" s="327">
        <f t="shared" si="3"/>
        <v>1.2570571630204658E-3</v>
      </c>
    </row>
    <row r="740" spans="1:11" x14ac:dyDescent="0.25">
      <c r="A740" s="439"/>
      <c r="B740" s="346" t="s">
        <v>699</v>
      </c>
      <c r="C740" s="335">
        <v>115</v>
      </c>
      <c r="D740" s="336">
        <v>683</v>
      </c>
      <c r="E740" s="335">
        <v>848</v>
      </c>
      <c r="F740" s="336" t="s">
        <v>679</v>
      </c>
      <c r="G740" s="337">
        <v>166</v>
      </c>
      <c r="H740" s="336">
        <v>166</v>
      </c>
      <c r="I740" s="338">
        <v>100000</v>
      </c>
      <c r="J740" s="330">
        <v>16600000</v>
      </c>
      <c r="K740" s="327">
        <f t="shared" si="3"/>
        <v>3.6609033168666198E-3</v>
      </c>
    </row>
    <row r="741" spans="1:11" x14ac:dyDescent="0.25">
      <c r="A741" s="437" t="s">
        <v>709</v>
      </c>
      <c r="B741" s="328" t="s">
        <v>710</v>
      </c>
      <c r="C741" s="322">
        <v>1</v>
      </c>
      <c r="D741" s="329">
        <v>1</v>
      </c>
      <c r="E741" s="322">
        <v>100</v>
      </c>
      <c r="F741" s="329" t="s">
        <v>679</v>
      </c>
      <c r="G741" s="324">
        <v>100</v>
      </c>
      <c r="H741" s="329">
        <v>100</v>
      </c>
      <c r="I741" s="325">
        <v>100000</v>
      </c>
      <c r="J741" s="326">
        <v>10000000</v>
      </c>
      <c r="K741" s="327">
        <f t="shared" si="3"/>
        <v>2.2053634438955541E-3</v>
      </c>
    </row>
    <row r="742" spans="1:11" x14ac:dyDescent="0.25">
      <c r="A742" s="437"/>
      <c r="B742" s="328" t="s">
        <v>678</v>
      </c>
      <c r="C742" s="322">
        <v>3</v>
      </c>
      <c r="D742" s="329">
        <v>1</v>
      </c>
      <c r="E742" s="322">
        <v>50</v>
      </c>
      <c r="F742" s="329" t="s">
        <v>679</v>
      </c>
      <c r="G742" s="324">
        <v>50</v>
      </c>
      <c r="H742" s="329">
        <v>50</v>
      </c>
      <c r="I742" s="325">
        <v>100000</v>
      </c>
      <c r="J742" s="330">
        <v>5000000</v>
      </c>
      <c r="K742" s="327">
        <f t="shared" si="3"/>
        <v>1.1026817219477771E-3</v>
      </c>
    </row>
    <row r="743" spans="1:11" x14ac:dyDescent="0.25">
      <c r="A743" s="437"/>
      <c r="B743" s="328" t="s">
        <v>685</v>
      </c>
      <c r="C743" s="322">
        <v>66</v>
      </c>
      <c r="D743" s="329">
        <v>1</v>
      </c>
      <c r="E743" s="322">
        <v>50</v>
      </c>
      <c r="F743" s="329" t="s">
        <v>679</v>
      </c>
      <c r="G743" s="324">
        <v>50</v>
      </c>
      <c r="H743" s="329">
        <v>50</v>
      </c>
      <c r="I743" s="325">
        <v>100000</v>
      </c>
      <c r="J743" s="330">
        <v>5000000</v>
      </c>
      <c r="K743" s="327">
        <f t="shared" si="3"/>
        <v>1.1026817219477771E-3</v>
      </c>
    </row>
    <row r="744" spans="1:11" x14ac:dyDescent="0.25">
      <c r="A744" s="437"/>
      <c r="B744" s="345" t="s">
        <v>685</v>
      </c>
      <c r="C744" s="322">
        <v>70</v>
      </c>
      <c r="D744" s="329">
        <v>174</v>
      </c>
      <c r="E744" s="322">
        <v>199</v>
      </c>
      <c r="F744" s="329" t="s">
        <v>679</v>
      </c>
      <c r="G744" s="324">
        <v>26</v>
      </c>
      <c r="H744" s="329">
        <v>26</v>
      </c>
      <c r="I744" s="325">
        <v>100000</v>
      </c>
      <c r="J744" s="330">
        <v>2600000</v>
      </c>
      <c r="K744" s="327">
        <f t="shared" si="3"/>
        <v>5.7339449541284407E-4</v>
      </c>
    </row>
    <row r="745" spans="1:11" x14ac:dyDescent="0.25">
      <c r="A745" s="437"/>
      <c r="B745" s="345" t="s">
        <v>693</v>
      </c>
      <c r="C745" s="322">
        <v>73</v>
      </c>
      <c r="D745" s="329">
        <v>93</v>
      </c>
      <c r="E745" s="322">
        <v>163</v>
      </c>
      <c r="F745" s="329" t="s">
        <v>679</v>
      </c>
      <c r="G745" s="324">
        <v>71</v>
      </c>
      <c r="H745" s="329">
        <v>71</v>
      </c>
      <c r="I745" s="325">
        <v>100000</v>
      </c>
      <c r="J745" s="330">
        <v>7100000</v>
      </c>
      <c r="K745" s="327">
        <f t="shared" si="3"/>
        <v>1.5658080451658434E-3</v>
      </c>
    </row>
    <row r="746" spans="1:11" x14ac:dyDescent="0.25">
      <c r="A746" s="437"/>
      <c r="B746" s="345" t="s">
        <v>698</v>
      </c>
      <c r="C746" s="322">
        <v>82</v>
      </c>
      <c r="D746" s="329">
        <v>7</v>
      </c>
      <c r="E746" s="322">
        <v>100</v>
      </c>
      <c r="F746" s="329" t="s">
        <v>679</v>
      </c>
      <c r="G746" s="324">
        <v>94</v>
      </c>
      <c r="H746" s="329">
        <v>94</v>
      </c>
      <c r="I746" s="325">
        <v>100000</v>
      </c>
      <c r="J746" s="330">
        <v>9400000</v>
      </c>
      <c r="K746" s="327">
        <f t="shared" si="3"/>
        <v>2.0730416372618209E-3</v>
      </c>
    </row>
    <row r="747" spans="1:11" x14ac:dyDescent="0.25">
      <c r="A747" s="437"/>
      <c r="B747" s="345" t="s">
        <v>686</v>
      </c>
      <c r="C747" s="322">
        <v>87</v>
      </c>
      <c r="D747" s="329">
        <v>1</v>
      </c>
      <c r="E747" s="322">
        <v>53</v>
      </c>
      <c r="F747" s="329" t="s">
        <v>679</v>
      </c>
      <c r="G747" s="324">
        <v>53</v>
      </c>
      <c r="H747" s="329">
        <v>53</v>
      </c>
      <c r="I747" s="325">
        <v>100000</v>
      </c>
      <c r="J747" s="330">
        <v>5300000</v>
      </c>
      <c r="K747" s="327">
        <f t="shared" ref="K747:K778" si="4">J747/$D$677</f>
        <v>1.1688426252646437E-3</v>
      </c>
    </row>
    <row r="748" spans="1:11" x14ac:dyDescent="0.25">
      <c r="A748" s="437"/>
      <c r="B748" s="344" t="s">
        <v>699</v>
      </c>
      <c r="C748" s="322">
        <v>116</v>
      </c>
      <c r="D748" s="329">
        <v>849</v>
      </c>
      <c r="E748" s="322">
        <v>1048</v>
      </c>
      <c r="F748" s="329" t="s">
        <v>679</v>
      </c>
      <c r="G748" s="324">
        <v>200</v>
      </c>
      <c r="H748" s="329">
        <v>200</v>
      </c>
      <c r="I748" s="325">
        <v>100000</v>
      </c>
      <c r="J748" s="330">
        <v>20000000</v>
      </c>
      <c r="K748" s="327">
        <f t="shared" si="4"/>
        <v>4.4107268877911082E-3</v>
      </c>
    </row>
    <row r="749" spans="1:11" x14ac:dyDescent="0.25">
      <c r="A749" s="439" t="s">
        <v>355</v>
      </c>
      <c r="B749" s="321" t="s">
        <v>708</v>
      </c>
      <c r="C749" s="331">
        <v>28</v>
      </c>
      <c r="D749" s="323">
        <v>133</v>
      </c>
      <c r="E749" s="331">
        <v>137</v>
      </c>
      <c r="F749" s="323" t="s">
        <v>679</v>
      </c>
      <c r="G749" s="332">
        <v>5</v>
      </c>
      <c r="H749" s="323">
        <v>5</v>
      </c>
      <c r="I749" s="333">
        <v>100000</v>
      </c>
      <c r="J749" s="326">
        <v>500000</v>
      </c>
      <c r="K749" s="327">
        <f t="shared" si="4"/>
        <v>1.1026817219477771E-4</v>
      </c>
    </row>
    <row r="750" spans="1:11" x14ac:dyDescent="0.25">
      <c r="A750" s="439"/>
      <c r="B750" s="328" t="s">
        <v>711</v>
      </c>
      <c r="C750" s="322">
        <v>30</v>
      </c>
      <c r="D750" s="329">
        <v>1</v>
      </c>
      <c r="E750" s="322">
        <v>200</v>
      </c>
      <c r="F750" s="329" t="s">
        <v>679</v>
      </c>
      <c r="G750" s="324">
        <v>200</v>
      </c>
      <c r="H750" s="329">
        <v>200</v>
      </c>
      <c r="I750" s="325">
        <v>100000</v>
      </c>
      <c r="J750" s="330">
        <v>20000000</v>
      </c>
      <c r="K750" s="327">
        <f t="shared" si="4"/>
        <v>4.4107268877911082E-3</v>
      </c>
    </row>
    <row r="751" spans="1:11" x14ac:dyDescent="0.25">
      <c r="A751" s="439"/>
      <c r="B751" s="328" t="s">
        <v>712</v>
      </c>
      <c r="C751" s="322">
        <v>31</v>
      </c>
      <c r="D751" s="329">
        <v>1</v>
      </c>
      <c r="E751" s="322">
        <v>200</v>
      </c>
      <c r="F751" s="329" t="s">
        <v>679</v>
      </c>
      <c r="G751" s="324">
        <v>200</v>
      </c>
      <c r="H751" s="329">
        <v>200</v>
      </c>
      <c r="I751" s="325">
        <v>100000</v>
      </c>
      <c r="J751" s="330">
        <v>20000000</v>
      </c>
      <c r="K751" s="327">
        <f t="shared" si="4"/>
        <v>4.4107268877911082E-3</v>
      </c>
    </row>
    <row r="752" spans="1:11" x14ac:dyDescent="0.25">
      <c r="A752" s="439"/>
      <c r="B752" s="345" t="s">
        <v>683</v>
      </c>
      <c r="C752" s="322">
        <v>32</v>
      </c>
      <c r="D752" s="329">
        <v>1</v>
      </c>
      <c r="E752" s="322">
        <v>102</v>
      </c>
      <c r="F752" s="329" t="s">
        <v>679</v>
      </c>
      <c r="G752" s="324">
        <v>102</v>
      </c>
      <c r="H752" s="329">
        <v>102</v>
      </c>
      <c r="I752" s="325">
        <v>100000</v>
      </c>
      <c r="J752" s="330">
        <v>10200000</v>
      </c>
      <c r="K752" s="327">
        <f t="shared" si="4"/>
        <v>2.2494707127734652E-3</v>
      </c>
    </row>
    <row r="753" spans="1:11" x14ac:dyDescent="0.25">
      <c r="A753" s="439"/>
      <c r="B753" s="345" t="s">
        <v>713</v>
      </c>
      <c r="C753" s="322">
        <v>36</v>
      </c>
      <c r="D753" s="329">
        <v>1</v>
      </c>
      <c r="E753" s="322">
        <v>200</v>
      </c>
      <c r="F753" s="329" t="s">
        <v>679</v>
      </c>
      <c r="G753" s="324">
        <v>200</v>
      </c>
      <c r="H753" s="329">
        <v>200</v>
      </c>
      <c r="I753" s="325">
        <v>100000</v>
      </c>
      <c r="J753" s="330">
        <v>20000000</v>
      </c>
      <c r="K753" s="327">
        <f t="shared" si="4"/>
        <v>4.4107268877911082E-3</v>
      </c>
    </row>
    <row r="754" spans="1:11" x14ac:dyDescent="0.25">
      <c r="A754" s="439"/>
      <c r="B754" s="345" t="s">
        <v>699</v>
      </c>
      <c r="C754" s="322">
        <v>118</v>
      </c>
      <c r="D754" s="329">
        <v>2249</v>
      </c>
      <c r="E754" s="322">
        <v>5000</v>
      </c>
      <c r="F754" s="329" t="s">
        <v>679</v>
      </c>
      <c r="G754" s="324">
        <v>2752</v>
      </c>
      <c r="H754" s="329">
        <v>2752</v>
      </c>
      <c r="I754" s="325">
        <v>100000</v>
      </c>
      <c r="J754" s="330">
        <v>275200000</v>
      </c>
      <c r="K754" s="327">
        <f t="shared" si="4"/>
        <v>6.0691601976005649E-2</v>
      </c>
    </row>
    <row r="755" spans="1:11" x14ac:dyDescent="0.25">
      <c r="A755" s="439"/>
      <c r="B755" s="345" t="s">
        <v>714</v>
      </c>
      <c r="C755" s="322">
        <v>119</v>
      </c>
      <c r="D755" s="329">
        <v>1</v>
      </c>
      <c r="E755" s="322">
        <v>2873</v>
      </c>
      <c r="F755" s="329" t="s">
        <v>679</v>
      </c>
      <c r="G755" s="324">
        <v>2873</v>
      </c>
      <c r="H755" s="329">
        <v>2873</v>
      </c>
      <c r="I755" s="325">
        <v>100000</v>
      </c>
      <c r="J755" s="330">
        <v>287300000</v>
      </c>
      <c r="K755" s="327">
        <f t="shared" si="4"/>
        <v>6.3360091743119268E-2</v>
      </c>
    </row>
    <row r="756" spans="1:11" x14ac:dyDescent="0.25">
      <c r="A756" s="439"/>
      <c r="B756" s="346" t="s">
        <v>714</v>
      </c>
      <c r="C756" s="335">
        <v>119</v>
      </c>
      <c r="D756" s="336">
        <v>2873</v>
      </c>
      <c r="E756" s="335">
        <v>4440</v>
      </c>
      <c r="F756" s="336" t="s">
        <v>679</v>
      </c>
      <c r="G756" s="337">
        <v>1567</v>
      </c>
      <c r="H756" s="336">
        <v>1567</v>
      </c>
      <c r="I756" s="338">
        <v>100000</v>
      </c>
      <c r="J756" s="339">
        <v>156700000</v>
      </c>
      <c r="K756" s="327">
        <f t="shared" si="4"/>
        <v>3.4558045165843328E-2</v>
      </c>
    </row>
    <row r="757" spans="1:11" x14ac:dyDescent="0.25">
      <c r="A757" s="347" t="s">
        <v>715</v>
      </c>
      <c r="B757" s="348" t="s">
        <v>699</v>
      </c>
      <c r="C757" s="349">
        <v>117</v>
      </c>
      <c r="D757" s="350">
        <v>1049</v>
      </c>
      <c r="E757" s="349">
        <v>2248</v>
      </c>
      <c r="F757" s="350" t="s">
        <v>679</v>
      </c>
      <c r="G757" s="351">
        <v>1200</v>
      </c>
      <c r="H757" s="350">
        <v>1200</v>
      </c>
      <c r="I757" s="352">
        <v>100000</v>
      </c>
      <c r="J757" s="353">
        <v>120000000</v>
      </c>
      <c r="K757" s="327">
        <f t="shared" si="4"/>
        <v>2.6464361326746649E-2</v>
      </c>
    </row>
    <row r="758" spans="1:11" x14ac:dyDescent="0.25">
      <c r="A758" s="437" t="s">
        <v>716</v>
      </c>
      <c r="B758" s="328" t="s">
        <v>710</v>
      </c>
      <c r="C758" s="322">
        <v>2</v>
      </c>
      <c r="D758" s="329">
        <v>101</v>
      </c>
      <c r="E758" s="322">
        <v>200</v>
      </c>
      <c r="F758" s="329" t="s">
        <v>679</v>
      </c>
      <c r="G758" s="324">
        <v>100</v>
      </c>
      <c r="H758" s="329">
        <v>100</v>
      </c>
      <c r="I758" s="325">
        <v>100000</v>
      </c>
      <c r="J758" s="330">
        <v>10000000</v>
      </c>
      <c r="K758" s="327">
        <f t="shared" si="4"/>
        <v>2.2053634438955541E-3</v>
      </c>
    </row>
    <row r="759" spans="1:11" x14ac:dyDescent="0.25">
      <c r="A759" s="437"/>
      <c r="B759" s="328" t="s">
        <v>678</v>
      </c>
      <c r="C759" s="322">
        <v>4</v>
      </c>
      <c r="D759" s="329">
        <v>51</v>
      </c>
      <c r="E759" s="322">
        <v>150</v>
      </c>
      <c r="F759" s="329" t="s">
        <v>679</v>
      </c>
      <c r="G759" s="324">
        <v>100</v>
      </c>
      <c r="H759" s="329">
        <v>100</v>
      </c>
      <c r="I759" s="325">
        <v>100000</v>
      </c>
      <c r="J759" s="330">
        <v>10000000</v>
      </c>
      <c r="K759" s="327">
        <f t="shared" si="4"/>
        <v>2.2053634438955541E-3</v>
      </c>
    </row>
    <row r="760" spans="1:11" x14ac:dyDescent="0.25">
      <c r="A760" s="437"/>
      <c r="B760" s="328" t="s">
        <v>678</v>
      </c>
      <c r="C760" s="322">
        <v>6</v>
      </c>
      <c r="D760" s="329">
        <v>161</v>
      </c>
      <c r="E760" s="322">
        <v>165</v>
      </c>
      <c r="F760" s="329" t="s">
        <v>679</v>
      </c>
      <c r="G760" s="324">
        <v>5</v>
      </c>
      <c r="H760" s="329">
        <v>5</v>
      </c>
      <c r="I760" s="325">
        <v>100000</v>
      </c>
      <c r="J760" s="330">
        <v>500000</v>
      </c>
      <c r="K760" s="327">
        <f t="shared" si="4"/>
        <v>1.1026817219477771E-4</v>
      </c>
    </row>
    <row r="761" spans="1:11" x14ac:dyDescent="0.25">
      <c r="A761" s="437"/>
      <c r="B761" s="328" t="s">
        <v>678</v>
      </c>
      <c r="C761" s="322">
        <v>8</v>
      </c>
      <c r="D761" s="329">
        <v>181</v>
      </c>
      <c r="E761" s="322">
        <v>195</v>
      </c>
      <c r="F761" s="329" t="s">
        <v>679</v>
      </c>
      <c r="G761" s="324">
        <v>15</v>
      </c>
      <c r="H761" s="329">
        <v>15</v>
      </c>
      <c r="I761" s="325">
        <v>100000</v>
      </c>
      <c r="J761" s="330">
        <v>1500000</v>
      </c>
      <c r="K761" s="327">
        <f t="shared" si="4"/>
        <v>3.3080451658433312E-4</v>
      </c>
    </row>
    <row r="762" spans="1:11" x14ac:dyDescent="0.25">
      <c r="A762" s="437"/>
      <c r="B762" s="328" t="s">
        <v>678</v>
      </c>
      <c r="C762" s="322">
        <v>11</v>
      </c>
      <c r="D762" s="329">
        <v>200</v>
      </c>
      <c r="E762" s="322">
        <v>200</v>
      </c>
      <c r="F762" s="329" t="s">
        <v>679</v>
      </c>
      <c r="G762" s="324">
        <v>1</v>
      </c>
      <c r="H762" s="329">
        <v>1</v>
      </c>
      <c r="I762" s="325">
        <v>100000</v>
      </c>
      <c r="J762" s="330">
        <v>100000</v>
      </c>
      <c r="K762" s="327">
        <f t="shared" si="4"/>
        <v>2.2053634438955541E-5</v>
      </c>
    </row>
    <row r="763" spans="1:11" x14ac:dyDescent="0.25">
      <c r="A763" s="437"/>
      <c r="B763" s="328" t="s">
        <v>691</v>
      </c>
      <c r="C763" s="322">
        <v>12</v>
      </c>
      <c r="D763" s="329">
        <v>1</v>
      </c>
      <c r="E763" s="322">
        <v>100</v>
      </c>
      <c r="F763" s="329" t="s">
        <v>679</v>
      </c>
      <c r="G763" s="324">
        <v>100</v>
      </c>
      <c r="H763" s="329">
        <v>100</v>
      </c>
      <c r="I763" s="325">
        <v>100000</v>
      </c>
      <c r="J763" s="330">
        <v>10000000</v>
      </c>
      <c r="K763" s="327">
        <f t="shared" si="4"/>
        <v>2.2053634438955541E-3</v>
      </c>
    </row>
    <row r="764" spans="1:11" x14ac:dyDescent="0.25">
      <c r="A764" s="437"/>
      <c r="B764" s="328" t="s">
        <v>691</v>
      </c>
      <c r="C764" s="322">
        <v>14</v>
      </c>
      <c r="D764" s="329">
        <v>151</v>
      </c>
      <c r="E764" s="322">
        <v>180</v>
      </c>
      <c r="F764" s="329" t="s">
        <v>679</v>
      </c>
      <c r="G764" s="324">
        <v>30</v>
      </c>
      <c r="H764" s="329">
        <v>30</v>
      </c>
      <c r="I764" s="325">
        <v>100000</v>
      </c>
      <c r="J764" s="330">
        <v>3000000</v>
      </c>
      <c r="K764" s="327">
        <f t="shared" si="4"/>
        <v>6.6160903316866623E-4</v>
      </c>
    </row>
    <row r="765" spans="1:11" x14ac:dyDescent="0.25">
      <c r="A765" s="437"/>
      <c r="B765" s="328" t="s">
        <v>691</v>
      </c>
      <c r="C765" s="322">
        <v>16</v>
      </c>
      <c r="D765" s="329">
        <v>191</v>
      </c>
      <c r="E765" s="322">
        <v>199</v>
      </c>
      <c r="F765" s="329" t="s">
        <v>679</v>
      </c>
      <c r="G765" s="324">
        <v>9</v>
      </c>
      <c r="H765" s="329">
        <v>9</v>
      </c>
      <c r="I765" s="325">
        <v>100000</v>
      </c>
      <c r="J765" s="330">
        <v>900000</v>
      </c>
      <c r="K765" s="327">
        <f t="shared" si="4"/>
        <v>1.9848270995059987E-4</v>
      </c>
    </row>
    <row r="766" spans="1:11" x14ac:dyDescent="0.25">
      <c r="A766" s="437"/>
      <c r="B766" s="328" t="s">
        <v>689</v>
      </c>
      <c r="C766" s="322">
        <v>19</v>
      </c>
      <c r="D766" s="329">
        <v>101</v>
      </c>
      <c r="E766" s="322">
        <v>190</v>
      </c>
      <c r="F766" s="329" t="s">
        <v>679</v>
      </c>
      <c r="G766" s="324">
        <v>90</v>
      </c>
      <c r="H766" s="329">
        <v>90</v>
      </c>
      <c r="I766" s="325">
        <v>100000</v>
      </c>
      <c r="J766" s="330">
        <v>9000000</v>
      </c>
      <c r="K766" s="327">
        <f t="shared" si="4"/>
        <v>1.9848270995059987E-3</v>
      </c>
    </row>
    <row r="767" spans="1:11" x14ac:dyDescent="0.25">
      <c r="A767" s="437"/>
      <c r="B767" s="328" t="s">
        <v>704</v>
      </c>
      <c r="C767" s="322">
        <v>22</v>
      </c>
      <c r="D767" s="329">
        <v>101</v>
      </c>
      <c r="E767" s="322">
        <v>170</v>
      </c>
      <c r="F767" s="329" t="s">
        <v>679</v>
      </c>
      <c r="G767" s="324">
        <v>70</v>
      </c>
      <c r="H767" s="329">
        <v>70</v>
      </c>
      <c r="I767" s="325">
        <v>100000</v>
      </c>
      <c r="J767" s="330">
        <v>7000000</v>
      </c>
      <c r="K767" s="327">
        <f t="shared" si="4"/>
        <v>1.5437544107268879E-3</v>
      </c>
    </row>
    <row r="768" spans="1:11" x14ac:dyDescent="0.25">
      <c r="A768" s="437"/>
      <c r="B768" s="328" t="s">
        <v>701</v>
      </c>
      <c r="C768" s="322">
        <v>24</v>
      </c>
      <c r="D768" s="329">
        <v>1</v>
      </c>
      <c r="E768" s="322">
        <v>50</v>
      </c>
      <c r="F768" s="329" t="s">
        <v>679</v>
      </c>
      <c r="G768" s="324">
        <v>50</v>
      </c>
      <c r="H768" s="329">
        <v>50</v>
      </c>
      <c r="I768" s="325">
        <v>100000</v>
      </c>
      <c r="J768" s="330">
        <v>5000000</v>
      </c>
      <c r="K768" s="327">
        <f t="shared" si="4"/>
        <v>1.1026817219477771E-3</v>
      </c>
    </row>
    <row r="769" spans="1:11" x14ac:dyDescent="0.25">
      <c r="A769" s="437"/>
      <c r="B769" s="328" t="s">
        <v>708</v>
      </c>
      <c r="C769" s="322">
        <v>29</v>
      </c>
      <c r="D769" s="329">
        <v>138</v>
      </c>
      <c r="E769" s="322">
        <v>200</v>
      </c>
      <c r="F769" s="329" t="s">
        <v>679</v>
      </c>
      <c r="G769" s="324">
        <v>63</v>
      </c>
      <c r="H769" s="329">
        <v>63</v>
      </c>
      <c r="I769" s="325">
        <v>100000</v>
      </c>
      <c r="J769" s="330">
        <v>6300000</v>
      </c>
      <c r="K769" s="327">
        <f t="shared" si="4"/>
        <v>1.3893789696541991E-3</v>
      </c>
    </row>
    <row r="770" spans="1:11" x14ac:dyDescent="0.25">
      <c r="A770" s="437"/>
      <c r="B770" s="328" t="s">
        <v>717</v>
      </c>
      <c r="C770" s="322">
        <v>37</v>
      </c>
      <c r="D770" s="329">
        <v>1</v>
      </c>
      <c r="E770" s="322">
        <v>200</v>
      </c>
      <c r="F770" s="329" t="s">
        <v>679</v>
      </c>
      <c r="G770" s="324">
        <v>200</v>
      </c>
      <c r="H770" s="329">
        <v>200</v>
      </c>
      <c r="I770" s="325">
        <v>100000</v>
      </c>
      <c r="J770" s="330">
        <v>20000000</v>
      </c>
      <c r="K770" s="327">
        <f t="shared" si="4"/>
        <v>4.4107268877911082E-3</v>
      </c>
    </row>
    <row r="771" spans="1:11" x14ac:dyDescent="0.25">
      <c r="A771" s="437"/>
      <c r="B771" s="328" t="s">
        <v>718</v>
      </c>
      <c r="C771" s="322">
        <v>38</v>
      </c>
      <c r="D771" s="329">
        <v>1</v>
      </c>
      <c r="E771" s="322">
        <v>200</v>
      </c>
      <c r="F771" s="329" t="s">
        <v>679</v>
      </c>
      <c r="G771" s="324">
        <v>200</v>
      </c>
      <c r="H771" s="329">
        <v>200</v>
      </c>
      <c r="I771" s="325">
        <v>100000</v>
      </c>
      <c r="J771" s="330">
        <v>20000000</v>
      </c>
      <c r="K771" s="327">
        <f t="shared" si="4"/>
        <v>4.4107268877911082E-3</v>
      </c>
    </row>
    <row r="772" spans="1:11" x14ac:dyDescent="0.25">
      <c r="A772" s="437"/>
      <c r="B772" s="328" t="s">
        <v>719</v>
      </c>
      <c r="C772" s="322">
        <v>39</v>
      </c>
      <c r="D772" s="329">
        <v>1</v>
      </c>
      <c r="E772" s="322">
        <v>200</v>
      </c>
      <c r="F772" s="329" t="s">
        <v>679</v>
      </c>
      <c r="G772" s="324">
        <v>200</v>
      </c>
      <c r="H772" s="329">
        <v>200</v>
      </c>
      <c r="I772" s="325">
        <v>100000</v>
      </c>
      <c r="J772" s="330">
        <v>20000000</v>
      </c>
      <c r="K772" s="327">
        <f t="shared" si="4"/>
        <v>4.4107268877911082E-3</v>
      </c>
    </row>
    <row r="773" spans="1:11" x14ac:dyDescent="0.25">
      <c r="A773" s="437"/>
      <c r="B773" s="328" t="s">
        <v>720</v>
      </c>
      <c r="C773" s="322">
        <v>40</v>
      </c>
      <c r="D773" s="329">
        <v>1</v>
      </c>
      <c r="E773" s="322">
        <v>200</v>
      </c>
      <c r="F773" s="329" t="s">
        <v>679</v>
      </c>
      <c r="G773" s="324">
        <v>200</v>
      </c>
      <c r="H773" s="329">
        <v>200</v>
      </c>
      <c r="I773" s="325">
        <v>100000</v>
      </c>
      <c r="J773" s="330">
        <v>20000000</v>
      </c>
      <c r="K773" s="327">
        <f t="shared" si="4"/>
        <v>4.4107268877911082E-3</v>
      </c>
    </row>
    <row r="774" spans="1:11" x14ac:dyDescent="0.25">
      <c r="A774" s="437"/>
      <c r="B774" s="328" t="s">
        <v>721</v>
      </c>
      <c r="C774" s="322">
        <v>41</v>
      </c>
      <c r="D774" s="329">
        <v>1</v>
      </c>
      <c r="E774" s="322">
        <v>200</v>
      </c>
      <c r="F774" s="329" t="s">
        <v>679</v>
      </c>
      <c r="G774" s="324">
        <v>200</v>
      </c>
      <c r="H774" s="329">
        <v>200</v>
      </c>
      <c r="I774" s="325">
        <v>100000</v>
      </c>
      <c r="J774" s="330">
        <v>20000000</v>
      </c>
      <c r="K774" s="327">
        <f t="shared" si="4"/>
        <v>4.4107268877911082E-3</v>
      </c>
    </row>
    <row r="775" spans="1:11" x14ac:dyDescent="0.25">
      <c r="A775" s="437"/>
      <c r="B775" s="328" t="s">
        <v>722</v>
      </c>
      <c r="C775" s="322">
        <v>42</v>
      </c>
      <c r="D775" s="329">
        <v>1</v>
      </c>
      <c r="E775" s="322">
        <v>200</v>
      </c>
      <c r="F775" s="329" t="s">
        <v>679</v>
      </c>
      <c r="G775" s="324">
        <v>200</v>
      </c>
      <c r="H775" s="329">
        <v>200</v>
      </c>
      <c r="I775" s="325">
        <v>100000</v>
      </c>
      <c r="J775" s="330">
        <v>20000000</v>
      </c>
      <c r="K775" s="327">
        <f t="shared" si="4"/>
        <v>4.4107268877911082E-3</v>
      </c>
    </row>
    <row r="776" spans="1:11" x14ac:dyDescent="0.25">
      <c r="A776" s="437"/>
      <c r="B776" s="328" t="s">
        <v>723</v>
      </c>
      <c r="C776" s="322">
        <v>43</v>
      </c>
      <c r="D776" s="329">
        <v>1</v>
      </c>
      <c r="E776" s="322">
        <v>200</v>
      </c>
      <c r="F776" s="329" t="s">
        <v>679</v>
      </c>
      <c r="G776" s="324">
        <v>200</v>
      </c>
      <c r="H776" s="329">
        <v>200</v>
      </c>
      <c r="I776" s="325">
        <v>100000</v>
      </c>
      <c r="J776" s="330">
        <v>20000000</v>
      </c>
      <c r="K776" s="327">
        <f t="shared" si="4"/>
        <v>4.4107268877911082E-3</v>
      </c>
    </row>
    <row r="777" spans="1:11" x14ac:dyDescent="0.25">
      <c r="A777" s="437"/>
      <c r="B777" s="328" t="s">
        <v>724</v>
      </c>
      <c r="C777" s="322">
        <v>44</v>
      </c>
      <c r="D777" s="329">
        <v>1</v>
      </c>
      <c r="E777" s="322">
        <v>200</v>
      </c>
      <c r="F777" s="329" t="s">
        <v>679</v>
      </c>
      <c r="G777" s="324">
        <v>200</v>
      </c>
      <c r="H777" s="329">
        <v>200</v>
      </c>
      <c r="I777" s="325">
        <v>100000</v>
      </c>
      <c r="J777" s="330">
        <v>20000000</v>
      </c>
      <c r="K777" s="327">
        <f t="shared" si="4"/>
        <v>4.4107268877911082E-3</v>
      </c>
    </row>
    <row r="778" spans="1:11" x14ac:dyDescent="0.25">
      <c r="A778" s="437"/>
      <c r="B778" s="328" t="s">
        <v>725</v>
      </c>
      <c r="C778" s="322">
        <v>45</v>
      </c>
      <c r="D778" s="329">
        <v>1</v>
      </c>
      <c r="E778" s="322">
        <v>200</v>
      </c>
      <c r="F778" s="329" t="s">
        <v>679</v>
      </c>
      <c r="G778" s="324">
        <v>200</v>
      </c>
      <c r="H778" s="329">
        <v>200</v>
      </c>
      <c r="I778" s="325">
        <v>100000</v>
      </c>
      <c r="J778" s="330">
        <v>20000000</v>
      </c>
      <c r="K778" s="327">
        <f t="shared" si="4"/>
        <v>4.4107268877911082E-3</v>
      </c>
    </row>
    <row r="779" spans="1:11" x14ac:dyDescent="0.25">
      <c r="A779" s="437"/>
      <c r="B779" s="328" t="s">
        <v>726</v>
      </c>
      <c r="C779" s="322">
        <v>46</v>
      </c>
      <c r="D779" s="329">
        <v>1</v>
      </c>
      <c r="E779" s="322">
        <v>200</v>
      </c>
      <c r="F779" s="329" t="s">
        <v>679</v>
      </c>
      <c r="G779" s="324">
        <v>200</v>
      </c>
      <c r="H779" s="329">
        <v>200</v>
      </c>
      <c r="I779" s="325">
        <v>100000</v>
      </c>
      <c r="J779" s="330">
        <v>20000000</v>
      </c>
      <c r="K779" s="327">
        <f t="shared" ref="K779:K810" si="5">J779/$D$677</f>
        <v>4.4107268877911082E-3</v>
      </c>
    </row>
    <row r="780" spans="1:11" x14ac:dyDescent="0.25">
      <c r="A780" s="437"/>
      <c r="B780" s="328" t="s">
        <v>727</v>
      </c>
      <c r="C780" s="322">
        <v>47</v>
      </c>
      <c r="D780" s="329">
        <v>1</v>
      </c>
      <c r="E780" s="322">
        <v>200</v>
      </c>
      <c r="F780" s="329" t="s">
        <v>679</v>
      </c>
      <c r="G780" s="324">
        <v>200</v>
      </c>
      <c r="H780" s="329">
        <v>200</v>
      </c>
      <c r="I780" s="325">
        <v>100000</v>
      </c>
      <c r="J780" s="330">
        <v>20000000</v>
      </c>
      <c r="K780" s="327">
        <f t="shared" si="5"/>
        <v>4.4107268877911082E-3</v>
      </c>
    </row>
    <row r="781" spans="1:11" x14ac:dyDescent="0.25">
      <c r="A781" s="437"/>
      <c r="B781" s="328" t="s">
        <v>728</v>
      </c>
      <c r="C781" s="322">
        <v>48</v>
      </c>
      <c r="D781" s="329">
        <v>1</v>
      </c>
      <c r="E781" s="322">
        <v>200</v>
      </c>
      <c r="F781" s="329" t="s">
        <v>679</v>
      </c>
      <c r="G781" s="324">
        <v>200</v>
      </c>
      <c r="H781" s="329">
        <v>200</v>
      </c>
      <c r="I781" s="325">
        <v>100000</v>
      </c>
      <c r="J781" s="330">
        <v>20000000</v>
      </c>
      <c r="K781" s="327">
        <f t="shared" si="5"/>
        <v>4.4107268877911082E-3</v>
      </c>
    </row>
    <row r="782" spans="1:11" x14ac:dyDescent="0.25">
      <c r="A782" s="437"/>
      <c r="B782" s="328" t="s">
        <v>729</v>
      </c>
      <c r="C782" s="322">
        <v>49</v>
      </c>
      <c r="D782" s="329">
        <v>1</v>
      </c>
      <c r="E782" s="322">
        <v>200</v>
      </c>
      <c r="F782" s="329" t="s">
        <v>679</v>
      </c>
      <c r="G782" s="324">
        <v>200</v>
      </c>
      <c r="H782" s="329">
        <v>200</v>
      </c>
      <c r="I782" s="325">
        <v>100000</v>
      </c>
      <c r="J782" s="330">
        <v>20000000</v>
      </c>
      <c r="K782" s="327">
        <f t="shared" si="5"/>
        <v>4.4107268877911082E-3</v>
      </c>
    </row>
    <row r="783" spans="1:11" x14ac:dyDescent="0.25">
      <c r="A783" s="437"/>
      <c r="B783" s="328" t="s">
        <v>730</v>
      </c>
      <c r="C783" s="322">
        <v>50</v>
      </c>
      <c r="D783" s="329">
        <v>1</v>
      </c>
      <c r="E783" s="322">
        <v>200</v>
      </c>
      <c r="F783" s="329" t="s">
        <v>679</v>
      </c>
      <c r="G783" s="324">
        <v>200</v>
      </c>
      <c r="H783" s="329">
        <v>200</v>
      </c>
      <c r="I783" s="325">
        <v>100000</v>
      </c>
      <c r="J783" s="330">
        <v>20000000</v>
      </c>
      <c r="K783" s="327">
        <f t="shared" si="5"/>
        <v>4.4107268877911082E-3</v>
      </c>
    </row>
    <row r="784" spans="1:11" x14ac:dyDescent="0.25">
      <c r="A784" s="437"/>
      <c r="B784" s="328" t="s">
        <v>731</v>
      </c>
      <c r="C784" s="322">
        <v>51</v>
      </c>
      <c r="D784" s="329">
        <v>1</v>
      </c>
      <c r="E784" s="322">
        <v>200</v>
      </c>
      <c r="F784" s="329" t="s">
        <v>679</v>
      </c>
      <c r="G784" s="324">
        <v>200</v>
      </c>
      <c r="H784" s="329">
        <v>200</v>
      </c>
      <c r="I784" s="325">
        <v>100000</v>
      </c>
      <c r="J784" s="330">
        <v>20000000</v>
      </c>
      <c r="K784" s="327">
        <f t="shared" si="5"/>
        <v>4.4107268877911082E-3</v>
      </c>
    </row>
    <row r="785" spans="1:11" x14ac:dyDescent="0.25">
      <c r="A785" s="437"/>
      <c r="B785" s="328" t="s">
        <v>732</v>
      </c>
      <c r="C785" s="322">
        <v>52</v>
      </c>
      <c r="D785" s="329">
        <v>1</v>
      </c>
      <c r="E785" s="322">
        <v>200</v>
      </c>
      <c r="F785" s="329" t="s">
        <v>679</v>
      </c>
      <c r="G785" s="324">
        <v>200</v>
      </c>
      <c r="H785" s="329">
        <v>200</v>
      </c>
      <c r="I785" s="325">
        <v>100000</v>
      </c>
      <c r="J785" s="330">
        <v>20000000</v>
      </c>
      <c r="K785" s="327">
        <f t="shared" si="5"/>
        <v>4.4107268877911082E-3</v>
      </c>
    </row>
    <row r="786" spans="1:11" x14ac:dyDescent="0.25">
      <c r="A786" s="437"/>
      <c r="B786" s="328" t="s">
        <v>733</v>
      </c>
      <c r="C786" s="322">
        <v>53</v>
      </c>
      <c r="D786" s="329">
        <v>1</v>
      </c>
      <c r="E786" s="322">
        <v>200</v>
      </c>
      <c r="F786" s="329" t="s">
        <v>679</v>
      </c>
      <c r="G786" s="324">
        <v>200</v>
      </c>
      <c r="H786" s="329">
        <v>200</v>
      </c>
      <c r="I786" s="325">
        <v>100000</v>
      </c>
      <c r="J786" s="330">
        <v>20000000</v>
      </c>
      <c r="K786" s="327">
        <f t="shared" si="5"/>
        <v>4.4107268877911082E-3</v>
      </c>
    </row>
    <row r="787" spans="1:11" x14ac:dyDescent="0.25">
      <c r="A787" s="437"/>
      <c r="B787" s="328" t="s">
        <v>734</v>
      </c>
      <c r="C787" s="322">
        <v>54</v>
      </c>
      <c r="D787" s="329">
        <v>1</v>
      </c>
      <c r="E787" s="322">
        <v>200</v>
      </c>
      <c r="F787" s="329" t="s">
        <v>679</v>
      </c>
      <c r="G787" s="324">
        <v>200</v>
      </c>
      <c r="H787" s="329">
        <v>200</v>
      </c>
      <c r="I787" s="325">
        <v>100000</v>
      </c>
      <c r="J787" s="330">
        <v>20000000</v>
      </c>
      <c r="K787" s="327">
        <f t="shared" si="5"/>
        <v>4.4107268877911082E-3</v>
      </c>
    </row>
    <row r="788" spans="1:11" x14ac:dyDescent="0.25">
      <c r="A788" s="437"/>
      <c r="B788" s="328" t="s">
        <v>735</v>
      </c>
      <c r="C788" s="322">
        <v>55</v>
      </c>
      <c r="D788" s="329">
        <v>1</v>
      </c>
      <c r="E788" s="322">
        <v>200</v>
      </c>
      <c r="F788" s="329" t="s">
        <v>679</v>
      </c>
      <c r="G788" s="324">
        <v>200</v>
      </c>
      <c r="H788" s="329">
        <v>200</v>
      </c>
      <c r="I788" s="325">
        <v>100000</v>
      </c>
      <c r="J788" s="330">
        <v>20000000</v>
      </c>
      <c r="K788" s="327">
        <f t="shared" si="5"/>
        <v>4.4107268877911082E-3</v>
      </c>
    </row>
    <row r="789" spans="1:11" x14ac:dyDescent="0.25">
      <c r="A789" s="437"/>
      <c r="B789" s="328" t="s">
        <v>736</v>
      </c>
      <c r="C789" s="322">
        <v>56</v>
      </c>
      <c r="D789" s="329">
        <v>1</v>
      </c>
      <c r="E789" s="322">
        <v>200</v>
      </c>
      <c r="F789" s="329" t="s">
        <v>679</v>
      </c>
      <c r="G789" s="324">
        <v>200</v>
      </c>
      <c r="H789" s="329">
        <v>200</v>
      </c>
      <c r="I789" s="325">
        <v>100000</v>
      </c>
      <c r="J789" s="330">
        <v>20000000</v>
      </c>
      <c r="K789" s="327">
        <f t="shared" si="5"/>
        <v>4.4107268877911082E-3</v>
      </c>
    </row>
    <row r="790" spans="1:11" x14ac:dyDescent="0.25">
      <c r="A790" s="437"/>
      <c r="B790" s="328" t="s">
        <v>693</v>
      </c>
      <c r="C790" s="322">
        <v>72</v>
      </c>
      <c r="D790" s="329">
        <v>1</v>
      </c>
      <c r="E790" s="322">
        <v>92</v>
      </c>
      <c r="F790" s="329" t="s">
        <v>679</v>
      </c>
      <c r="G790" s="324">
        <v>92</v>
      </c>
      <c r="H790" s="329">
        <v>92</v>
      </c>
      <c r="I790" s="325">
        <v>100000</v>
      </c>
      <c r="J790" s="330">
        <v>9200000</v>
      </c>
      <c r="K790" s="327">
        <f t="shared" si="5"/>
        <v>2.0289343683839098E-3</v>
      </c>
    </row>
    <row r="791" spans="1:11" x14ac:dyDescent="0.25">
      <c r="A791" s="437"/>
      <c r="B791" s="328" t="s">
        <v>697</v>
      </c>
      <c r="C791" s="322">
        <v>79</v>
      </c>
      <c r="D791" s="329">
        <v>1</v>
      </c>
      <c r="E791" s="322">
        <v>192</v>
      </c>
      <c r="F791" s="329" t="s">
        <v>679</v>
      </c>
      <c r="G791" s="324">
        <v>192</v>
      </c>
      <c r="H791" s="329">
        <v>192</v>
      </c>
      <c r="I791" s="325">
        <v>100000</v>
      </c>
      <c r="J791" s="330">
        <v>19200000</v>
      </c>
      <c r="K791" s="327">
        <f t="shared" si="5"/>
        <v>4.2342978122794639E-3</v>
      </c>
    </row>
    <row r="792" spans="1:11" x14ac:dyDescent="0.25">
      <c r="A792" s="437"/>
      <c r="B792" s="328" t="s">
        <v>698</v>
      </c>
      <c r="C792" s="322">
        <v>83</v>
      </c>
      <c r="D792" s="329">
        <v>101</v>
      </c>
      <c r="E792" s="322">
        <v>200</v>
      </c>
      <c r="F792" s="329" t="s">
        <v>679</v>
      </c>
      <c r="G792" s="324">
        <v>100</v>
      </c>
      <c r="H792" s="329">
        <v>100</v>
      </c>
      <c r="I792" s="325">
        <v>100000</v>
      </c>
      <c r="J792" s="330">
        <v>10000000</v>
      </c>
      <c r="K792" s="327">
        <f t="shared" si="5"/>
        <v>2.2053634438955541E-3</v>
      </c>
    </row>
    <row r="793" spans="1:11" x14ac:dyDescent="0.25">
      <c r="A793" s="437"/>
      <c r="B793" s="328" t="s">
        <v>737</v>
      </c>
      <c r="C793" s="322">
        <v>84</v>
      </c>
      <c r="D793" s="329">
        <v>1</v>
      </c>
      <c r="E793" s="322">
        <v>200</v>
      </c>
      <c r="F793" s="329" t="s">
        <v>679</v>
      </c>
      <c r="G793" s="324">
        <v>200</v>
      </c>
      <c r="H793" s="329">
        <v>200</v>
      </c>
      <c r="I793" s="325">
        <v>100000</v>
      </c>
      <c r="J793" s="330">
        <v>20000000</v>
      </c>
      <c r="K793" s="327">
        <f t="shared" si="5"/>
        <v>4.4107268877911082E-3</v>
      </c>
    </row>
    <row r="794" spans="1:11" x14ac:dyDescent="0.25">
      <c r="A794" s="437"/>
      <c r="B794" s="328" t="s">
        <v>738</v>
      </c>
      <c r="C794" s="322">
        <v>85</v>
      </c>
      <c r="D794" s="329">
        <v>1</v>
      </c>
      <c r="E794" s="322">
        <v>200</v>
      </c>
      <c r="F794" s="329" t="s">
        <v>679</v>
      </c>
      <c r="G794" s="324">
        <v>200</v>
      </c>
      <c r="H794" s="329">
        <v>200</v>
      </c>
      <c r="I794" s="325">
        <v>100000</v>
      </c>
      <c r="J794" s="330">
        <v>20000000</v>
      </c>
      <c r="K794" s="327">
        <f t="shared" si="5"/>
        <v>4.4107268877911082E-3</v>
      </c>
    </row>
    <row r="795" spans="1:11" x14ac:dyDescent="0.25">
      <c r="A795" s="437"/>
      <c r="B795" s="328" t="s">
        <v>739</v>
      </c>
      <c r="C795" s="322">
        <v>86</v>
      </c>
      <c r="D795" s="329">
        <v>1</v>
      </c>
      <c r="E795" s="322">
        <v>200</v>
      </c>
      <c r="F795" s="329" t="s">
        <v>679</v>
      </c>
      <c r="G795" s="324">
        <v>200</v>
      </c>
      <c r="H795" s="329">
        <v>200</v>
      </c>
      <c r="I795" s="325">
        <v>100000</v>
      </c>
      <c r="J795" s="330">
        <v>20000000</v>
      </c>
      <c r="K795" s="327">
        <f t="shared" si="5"/>
        <v>4.4107268877911082E-3</v>
      </c>
    </row>
    <row r="796" spans="1:11" x14ac:dyDescent="0.25">
      <c r="A796" s="437"/>
      <c r="B796" s="328" t="s">
        <v>740</v>
      </c>
      <c r="C796" s="322">
        <v>98</v>
      </c>
      <c r="D796" s="329">
        <v>1</v>
      </c>
      <c r="E796" s="322">
        <v>200</v>
      </c>
      <c r="F796" s="329" t="s">
        <v>679</v>
      </c>
      <c r="G796" s="324">
        <v>200</v>
      </c>
      <c r="H796" s="329">
        <v>200</v>
      </c>
      <c r="I796" s="325">
        <v>100000</v>
      </c>
      <c r="J796" s="330">
        <v>20000000</v>
      </c>
      <c r="K796" s="327">
        <f t="shared" si="5"/>
        <v>4.4107268877911082E-3</v>
      </c>
    </row>
    <row r="797" spans="1:11" x14ac:dyDescent="0.25">
      <c r="A797" s="437"/>
      <c r="B797" s="328" t="s">
        <v>741</v>
      </c>
      <c r="C797" s="322">
        <v>99</v>
      </c>
      <c r="D797" s="329">
        <v>1</v>
      </c>
      <c r="E797" s="322">
        <v>200</v>
      </c>
      <c r="F797" s="329" t="s">
        <v>679</v>
      </c>
      <c r="G797" s="324">
        <v>200</v>
      </c>
      <c r="H797" s="329">
        <v>200</v>
      </c>
      <c r="I797" s="325">
        <v>100000</v>
      </c>
      <c r="J797" s="330">
        <v>20000000</v>
      </c>
      <c r="K797" s="327">
        <f t="shared" si="5"/>
        <v>4.4107268877911082E-3</v>
      </c>
    </row>
    <row r="798" spans="1:11" x14ac:dyDescent="0.25">
      <c r="A798" s="437"/>
      <c r="B798" s="328" t="s">
        <v>742</v>
      </c>
      <c r="C798" s="322">
        <v>100</v>
      </c>
      <c r="D798" s="329">
        <v>1</v>
      </c>
      <c r="E798" s="322">
        <v>200</v>
      </c>
      <c r="F798" s="329" t="s">
        <v>679</v>
      </c>
      <c r="G798" s="324">
        <v>200</v>
      </c>
      <c r="H798" s="329">
        <v>200</v>
      </c>
      <c r="I798" s="325">
        <v>100000</v>
      </c>
      <c r="J798" s="330">
        <v>20000000</v>
      </c>
      <c r="K798" s="327">
        <f t="shared" si="5"/>
        <v>4.4107268877911082E-3</v>
      </c>
    </row>
    <row r="799" spans="1:11" x14ac:dyDescent="0.25">
      <c r="A799" s="437"/>
      <c r="B799" s="328" t="s">
        <v>743</v>
      </c>
      <c r="C799" s="322">
        <v>101</v>
      </c>
      <c r="D799" s="329">
        <v>1</v>
      </c>
      <c r="E799" s="322">
        <v>200</v>
      </c>
      <c r="F799" s="329" t="s">
        <v>679</v>
      </c>
      <c r="G799" s="324">
        <v>200</v>
      </c>
      <c r="H799" s="329">
        <v>200</v>
      </c>
      <c r="I799" s="325">
        <v>100000</v>
      </c>
      <c r="J799" s="330">
        <v>20000000</v>
      </c>
      <c r="K799" s="327">
        <f t="shared" si="5"/>
        <v>4.4107268877911082E-3</v>
      </c>
    </row>
    <row r="800" spans="1:11" x14ac:dyDescent="0.25">
      <c r="A800" s="437"/>
      <c r="B800" s="328" t="s">
        <v>681</v>
      </c>
      <c r="C800" s="322">
        <v>103</v>
      </c>
      <c r="D800" s="329">
        <v>13</v>
      </c>
      <c r="E800" s="322">
        <v>2420</v>
      </c>
      <c r="F800" s="329" t="s">
        <v>679</v>
      </c>
      <c r="G800" s="324">
        <v>2408</v>
      </c>
      <c r="H800" s="329">
        <v>2408</v>
      </c>
      <c r="I800" s="325">
        <v>100000</v>
      </c>
      <c r="J800" s="330">
        <v>240800000</v>
      </c>
      <c r="K800" s="327">
        <f t="shared" si="5"/>
        <v>5.3105151729004943E-2</v>
      </c>
    </row>
    <row r="801" spans="1:11" x14ac:dyDescent="0.25">
      <c r="A801" s="437"/>
      <c r="B801" s="328" t="s">
        <v>681</v>
      </c>
      <c r="C801" s="322">
        <v>109</v>
      </c>
      <c r="D801" s="329">
        <v>2763</v>
      </c>
      <c r="E801" s="322">
        <v>5000</v>
      </c>
      <c r="F801" s="329" t="s">
        <v>679</v>
      </c>
      <c r="G801" s="324">
        <v>2238</v>
      </c>
      <c r="H801" s="329">
        <v>2238</v>
      </c>
      <c r="I801" s="325">
        <v>100000</v>
      </c>
      <c r="J801" s="330">
        <v>223800000</v>
      </c>
      <c r="K801" s="327">
        <f t="shared" si="5"/>
        <v>4.9356033874382498E-2</v>
      </c>
    </row>
    <row r="802" spans="1:11" x14ac:dyDescent="0.25">
      <c r="A802" s="437"/>
      <c r="B802" s="328" t="s">
        <v>699</v>
      </c>
      <c r="C802" s="322">
        <v>110</v>
      </c>
      <c r="D802" s="329">
        <v>1</v>
      </c>
      <c r="E802" s="322">
        <v>170</v>
      </c>
      <c r="F802" s="329" t="s">
        <v>679</v>
      </c>
      <c r="G802" s="324">
        <v>170</v>
      </c>
      <c r="H802" s="329">
        <v>170</v>
      </c>
      <c r="I802" s="325">
        <v>100000</v>
      </c>
      <c r="J802" s="330">
        <v>17000000</v>
      </c>
      <c r="K802" s="327">
        <f t="shared" si="5"/>
        <v>3.749117854622442E-3</v>
      </c>
    </row>
    <row r="803" spans="1:11" ht="14.25" customHeight="1" x14ac:dyDescent="0.25">
      <c r="A803" s="354" t="s">
        <v>744</v>
      </c>
      <c r="B803" s="355" t="s">
        <v>710</v>
      </c>
      <c r="C803" s="331">
        <v>1</v>
      </c>
      <c r="D803" s="356">
        <v>1</v>
      </c>
      <c r="E803" s="357">
        <v>3068</v>
      </c>
      <c r="F803" s="323" t="s">
        <v>745</v>
      </c>
      <c r="G803" s="358">
        <f>E803+D803-1</f>
        <v>3068</v>
      </c>
      <c r="H803" s="359">
        <v>0</v>
      </c>
      <c r="I803" s="360">
        <v>100000</v>
      </c>
      <c r="J803" s="361">
        <f t="shared" ref="J803:J818" si="6">I803*G803</f>
        <v>306800000</v>
      </c>
      <c r="K803" s="327">
        <f t="shared" si="5"/>
        <v>6.7660550458715593E-2</v>
      </c>
    </row>
    <row r="804" spans="1:11" x14ac:dyDescent="0.25">
      <c r="A804" s="354" t="s">
        <v>746</v>
      </c>
      <c r="B804" s="355" t="s">
        <v>710</v>
      </c>
      <c r="C804" s="331">
        <v>2</v>
      </c>
      <c r="D804" s="356">
        <v>3069</v>
      </c>
      <c r="E804" s="357">
        <v>5132</v>
      </c>
      <c r="F804" s="323" t="s">
        <v>745</v>
      </c>
      <c r="G804" s="332">
        <f t="shared" ref="G804:G818" si="7">+E804-D804+1</f>
        <v>2064</v>
      </c>
      <c r="H804" s="359">
        <v>0</v>
      </c>
      <c r="I804" s="333">
        <v>100000</v>
      </c>
      <c r="J804" s="326">
        <f t="shared" si="6"/>
        <v>206400000</v>
      </c>
      <c r="K804" s="327">
        <f t="shared" si="5"/>
        <v>4.5518701482004237E-2</v>
      </c>
    </row>
    <row r="805" spans="1:11" x14ac:dyDescent="0.25">
      <c r="A805" s="362"/>
      <c r="B805" s="363" t="s">
        <v>691</v>
      </c>
      <c r="C805" s="322">
        <v>15</v>
      </c>
      <c r="D805" s="364">
        <v>627</v>
      </c>
      <c r="E805">
        <v>904</v>
      </c>
      <c r="F805" s="329" t="s">
        <v>745</v>
      </c>
      <c r="G805" s="324">
        <f t="shared" si="7"/>
        <v>278</v>
      </c>
      <c r="H805" s="365">
        <v>0</v>
      </c>
      <c r="I805" s="325">
        <v>100000</v>
      </c>
      <c r="J805" s="330">
        <f t="shared" si="6"/>
        <v>27800000</v>
      </c>
      <c r="K805" s="327">
        <f t="shared" si="5"/>
        <v>6.1309103740296404E-3</v>
      </c>
    </row>
    <row r="806" spans="1:11" x14ac:dyDescent="0.25">
      <c r="A806" s="354" t="s">
        <v>357</v>
      </c>
      <c r="B806" s="366" t="s">
        <v>710</v>
      </c>
      <c r="C806" s="323">
        <v>3</v>
      </c>
      <c r="D806" s="357">
        <v>5133</v>
      </c>
      <c r="E806" s="356">
        <v>6132</v>
      </c>
      <c r="F806" s="331" t="s">
        <v>745</v>
      </c>
      <c r="G806" s="367">
        <f t="shared" si="7"/>
        <v>1000</v>
      </c>
      <c r="H806" s="368">
        <v>0</v>
      </c>
      <c r="I806" s="369">
        <v>100000</v>
      </c>
      <c r="J806" s="370">
        <f t="shared" si="6"/>
        <v>100000000</v>
      </c>
      <c r="K806" s="327">
        <f t="shared" si="5"/>
        <v>2.2053634438955541E-2</v>
      </c>
    </row>
    <row r="807" spans="1:11" x14ac:dyDescent="0.25">
      <c r="A807" s="362"/>
      <c r="B807" s="371" t="s">
        <v>678</v>
      </c>
      <c r="C807" s="329">
        <v>11</v>
      </c>
      <c r="D807">
        <v>9862</v>
      </c>
      <c r="E807" s="364">
        <v>10000</v>
      </c>
      <c r="F807" s="322" t="s">
        <v>745</v>
      </c>
      <c r="G807" s="372">
        <f t="shared" si="7"/>
        <v>139</v>
      </c>
      <c r="H807" s="290">
        <v>0</v>
      </c>
      <c r="I807" s="373">
        <v>100000</v>
      </c>
      <c r="J807" s="374">
        <f t="shared" si="6"/>
        <v>13900000</v>
      </c>
      <c r="K807" s="327">
        <f t="shared" si="5"/>
        <v>3.0654551870148202E-3</v>
      </c>
    </row>
    <row r="808" spans="1:11" x14ac:dyDescent="0.25">
      <c r="A808" s="362"/>
      <c r="B808" s="371" t="s">
        <v>691</v>
      </c>
      <c r="C808" s="329">
        <v>12</v>
      </c>
      <c r="D808">
        <v>1</v>
      </c>
      <c r="E808" s="364">
        <v>1</v>
      </c>
      <c r="F808" s="322" t="s">
        <v>745</v>
      </c>
      <c r="G808" s="372">
        <f t="shared" si="7"/>
        <v>1</v>
      </c>
      <c r="H808" s="290">
        <v>0</v>
      </c>
      <c r="I808" s="373">
        <v>100000</v>
      </c>
      <c r="J808" s="374">
        <f t="shared" si="6"/>
        <v>100000</v>
      </c>
      <c r="K808" s="327">
        <f t="shared" si="5"/>
        <v>2.2053634438955541E-5</v>
      </c>
    </row>
    <row r="809" spans="1:11" ht="17.25" customHeight="1" x14ac:dyDescent="0.25">
      <c r="A809" s="354" t="s">
        <v>747</v>
      </c>
      <c r="B809" s="366" t="s">
        <v>710</v>
      </c>
      <c r="C809" s="323">
        <v>4</v>
      </c>
      <c r="D809" s="357">
        <v>6133</v>
      </c>
      <c r="E809" s="356">
        <v>8692</v>
      </c>
      <c r="F809" s="331" t="s">
        <v>745</v>
      </c>
      <c r="G809" s="367">
        <f t="shared" si="7"/>
        <v>2560</v>
      </c>
      <c r="H809" s="368">
        <v>0</v>
      </c>
      <c r="I809" s="369">
        <v>100000</v>
      </c>
      <c r="J809" s="370">
        <f t="shared" si="6"/>
        <v>256000000</v>
      </c>
      <c r="K809" s="327">
        <f t="shared" si="5"/>
        <v>5.6457304163726185E-2</v>
      </c>
    </row>
    <row r="810" spans="1:11" ht="17.25" customHeight="1" x14ac:dyDescent="0.25">
      <c r="A810" s="362"/>
      <c r="B810" s="371" t="s">
        <v>691</v>
      </c>
      <c r="C810" s="329">
        <v>13</v>
      </c>
      <c r="D810">
        <v>2</v>
      </c>
      <c r="E810" s="364">
        <v>346</v>
      </c>
      <c r="F810" s="322" t="s">
        <v>745</v>
      </c>
      <c r="G810" s="372">
        <f t="shared" si="7"/>
        <v>345</v>
      </c>
      <c r="H810" s="290">
        <v>0</v>
      </c>
      <c r="I810" s="373">
        <v>100000</v>
      </c>
      <c r="J810" s="374">
        <f t="shared" si="6"/>
        <v>34500000</v>
      </c>
      <c r="K810" s="327">
        <f t="shared" si="5"/>
        <v>7.6085038814396617E-3</v>
      </c>
    </row>
    <row r="811" spans="1:11" ht="13.5" customHeight="1" x14ac:dyDescent="0.25">
      <c r="A811" s="354" t="s">
        <v>628</v>
      </c>
      <c r="B811" s="355" t="s">
        <v>710</v>
      </c>
      <c r="C811" s="331">
        <v>5</v>
      </c>
      <c r="D811" s="356">
        <v>8693</v>
      </c>
      <c r="E811" s="357">
        <v>10000</v>
      </c>
      <c r="F811" s="323" t="s">
        <v>745</v>
      </c>
      <c r="G811" s="332">
        <f t="shared" si="7"/>
        <v>1308</v>
      </c>
      <c r="H811" s="359">
        <v>0</v>
      </c>
      <c r="I811" s="333">
        <v>100000</v>
      </c>
      <c r="J811" s="326">
        <f t="shared" si="6"/>
        <v>130800000</v>
      </c>
      <c r="K811" s="327">
        <f t="shared" ref="K811:K818" si="8">J811/$D$677</f>
        <v>2.8846153846153848E-2</v>
      </c>
    </row>
    <row r="812" spans="1:11" ht="19.5" customHeight="1" x14ac:dyDescent="0.25">
      <c r="A812" s="362"/>
      <c r="B812" s="363" t="s">
        <v>678</v>
      </c>
      <c r="C812" s="322">
        <v>6</v>
      </c>
      <c r="D812" s="364">
        <v>1</v>
      </c>
      <c r="E812">
        <v>778</v>
      </c>
      <c r="F812" s="329" t="s">
        <v>745</v>
      </c>
      <c r="G812" s="324">
        <f t="shared" si="7"/>
        <v>778</v>
      </c>
      <c r="H812" s="365">
        <v>0</v>
      </c>
      <c r="I812" s="325">
        <v>100000</v>
      </c>
      <c r="J812" s="330">
        <f t="shared" si="6"/>
        <v>77800000</v>
      </c>
      <c r="K812" s="327">
        <f t="shared" si="8"/>
        <v>1.7157727593507411E-2</v>
      </c>
    </row>
    <row r="813" spans="1:11" ht="19.5" customHeight="1" x14ac:dyDescent="0.25">
      <c r="A813" s="375"/>
      <c r="B813" s="376" t="s">
        <v>691</v>
      </c>
      <c r="C813" s="335">
        <v>14</v>
      </c>
      <c r="D813" s="377">
        <v>347</v>
      </c>
      <c r="E813" s="378">
        <v>626</v>
      </c>
      <c r="F813" s="336" t="s">
        <v>745</v>
      </c>
      <c r="G813" s="337">
        <f t="shared" si="7"/>
        <v>280</v>
      </c>
      <c r="H813" s="379">
        <v>0</v>
      </c>
      <c r="I813" s="338">
        <v>100000</v>
      </c>
      <c r="J813" s="339">
        <f t="shared" si="6"/>
        <v>28000000</v>
      </c>
      <c r="K813" s="327">
        <f t="shared" si="8"/>
        <v>6.1750176429075515E-3</v>
      </c>
    </row>
    <row r="814" spans="1:11" ht="18" customHeight="1" x14ac:dyDescent="0.25">
      <c r="A814" s="362" t="s">
        <v>748</v>
      </c>
      <c r="B814" s="363" t="s">
        <v>678</v>
      </c>
      <c r="C814" s="329">
        <v>7</v>
      </c>
      <c r="D814" s="364">
        <v>779</v>
      </c>
      <c r="E814" s="364">
        <v>1778</v>
      </c>
      <c r="F814" s="329" t="s">
        <v>745</v>
      </c>
      <c r="G814" s="372">
        <f t="shared" si="7"/>
        <v>1000</v>
      </c>
      <c r="H814" s="365">
        <v>0</v>
      </c>
      <c r="I814" s="373">
        <v>100000</v>
      </c>
      <c r="J814" s="380">
        <f t="shared" si="6"/>
        <v>100000000</v>
      </c>
      <c r="K814" s="327">
        <f t="shared" si="8"/>
        <v>2.2053634438955541E-2</v>
      </c>
    </row>
    <row r="815" spans="1:11" ht="18.75" customHeight="1" x14ac:dyDescent="0.25">
      <c r="A815" s="381" t="s">
        <v>749</v>
      </c>
      <c r="B815" s="355" t="s">
        <v>678</v>
      </c>
      <c r="C815" s="331">
        <v>8</v>
      </c>
      <c r="D815" s="356">
        <v>1779</v>
      </c>
      <c r="E815" s="357">
        <v>5588</v>
      </c>
      <c r="F815" s="323" t="s">
        <v>745</v>
      </c>
      <c r="G815" s="332">
        <f t="shared" si="7"/>
        <v>3810</v>
      </c>
      <c r="H815" s="359">
        <v>0</v>
      </c>
      <c r="I815" s="333">
        <v>100000</v>
      </c>
      <c r="J815" s="326">
        <f t="shared" si="6"/>
        <v>381000000</v>
      </c>
      <c r="K815" s="327">
        <f t="shared" si="8"/>
        <v>8.4024347212420608E-2</v>
      </c>
    </row>
    <row r="816" spans="1:11" ht="18.75" customHeight="1" x14ac:dyDescent="0.25">
      <c r="A816" s="382"/>
      <c r="B816" s="363" t="s">
        <v>678</v>
      </c>
      <c r="C816" s="322">
        <v>10</v>
      </c>
      <c r="D816" s="364">
        <v>9632</v>
      </c>
      <c r="E816">
        <v>9861</v>
      </c>
      <c r="F816" s="329" t="s">
        <v>745</v>
      </c>
      <c r="G816" s="324">
        <f t="shared" si="7"/>
        <v>230</v>
      </c>
      <c r="H816" s="365">
        <v>0</v>
      </c>
      <c r="I816" s="325">
        <v>100000</v>
      </c>
      <c r="J816" s="330">
        <f t="shared" si="6"/>
        <v>23000000</v>
      </c>
      <c r="K816" s="327">
        <f t="shared" si="8"/>
        <v>5.0723359209597745E-3</v>
      </c>
    </row>
    <row r="817" spans="1:11" ht="17.25" customHeight="1" x14ac:dyDescent="0.25">
      <c r="A817" s="381" t="s">
        <v>750</v>
      </c>
      <c r="B817" s="355" t="s">
        <v>678</v>
      </c>
      <c r="C817" s="331">
        <v>9</v>
      </c>
      <c r="D817" s="356">
        <v>5589</v>
      </c>
      <c r="E817" s="357">
        <v>9401</v>
      </c>
      <c r="F817" s="323" t="s">
        <v>745</v>
      </c>
      <c r="G817" s="332">
        <f t="shared" si="7"/>
        <v>3813</v>
      </c>
      <c r="H817" s="359">
        <v>0</v>
      </c>
      <c r="I817" s="333">
        <v>100000</v>
      </c>
      <c r="J817" s="361">
        <f t="shared" si="6"/>
        <v>381300000</v>
      </c>
      <c r="K817" s="327">
        <f t="shared" si="8"/>
        <v>8.409050811573747E-2</v>
      </c>
    </row>
    <row r="818" spans="1:11" ht="17.25" customHeight="1" x14ac:dyDescent="0.25">
      <c r="A818" s="383"/>
      <c r="B818" s="376" t="s">
        <v>678</v>
      </c>
      <c r="C818" s="335">
        <v>9</v>
      </c>
      <c r="D818" s="377">
        <v>9402</v>
      </c>
      <c r="E818" s="378">
        <v>9631</v>
      </c>
      <c r="F818" s="336" t="s">
        <v>745</v>
      </c>
      <c r="G818" s="337">
        <f t="shared" si="7"/>
        <v>230</v>
      </c>
      <c r="H818" s="379">
        <v>0</v>
      </c>
      <c r="I818" s="338">
        <v>100000</v>
      </c>
      <c r="J818" s="384">
        <f t="shared" si="6"/>
        <v>23000000</v>
      </c>
      <c r="K818" s="327">
        <f t="shared" si="8"/>
        <v>5.0723359209597745E-3</v>
      </c>
    </row>
    <row r="819" spans="1:11" x14ac:dyDescent="0.25">
      <c r="A819" s="441" t="s">
        <v>751</v>
      </c>
      <c r="B819" s="441"/>
      <c r="C819" s="441"/>
      <c r="D819" s="441"/>
      <c r="E819" s="441"/>
      <c r="F819" s="441"/>
      <c r="G819" s="385">
        <f>SUM(G683:G818)</f>
        <v>45344</v>
      </c>
      <c r="H819" s="386">
        <f>SUM(H683:H818)</f>
        <v>24440</v>
      </c>
      <c r="I819" s="387"/>
      <c r="J819" s="385">
        <f>SUM(J683:J818)</f>
        <v>4534400000</v>
      </c>
      <c r="K819" s="388">
        <f>SUM(K683:K818)</f>
        <v>0.99999999999999956</v>
      </c>
    </row>
    <row r="820" spans="1:11" x14ac:dyDescent="0.25">
      <c r="J820" s="219"/>
    </row>
    <row r="821" spans="1:11" x14ac:dyDescent="0.25">
      <c r="A821" s="389" t="s">
        <v>752</v>
      </c>
      <c r="B821" s="390" t="s">
        <v>287</v>
      </c>
      <c r="C821" s="390" t="s">
        <v>753</v>
      </c>
    </row>
    <row r="822" spans="1:11" x14ac:dyDescent="0.25">
      <c r="A822" s="391" t="s">
        <v>754</v>
      </c>
      <c r="B822" s="392">
        <f>22873+1567</f>
        <v>24440</v>
      </c>
      <c r="C822" s="393">
        <f>B822/B824</f>
        <v>0.53899082568807344</v>
      </c>
      <c r="J822" s="219"/>
    </row>
    <row r="823" spans="1:11" x14ac:dyDescent="0.25">
      <c r="A823" s="391" t="s">
        <v>755</v>
      </c>
      <c r="B823" s="394">
        <f>G819-B822</f>
        <v>20904</v>
      </c>
      <c r="C823" s="395">
        <f>B823/B824</f>
        <v>0.46100917431192662</v>
      </c>
      <c r="E823" s="219"/>
      <c r="J823" s="54"/>
    </row>
    <row r="824" spans="1:11" x14ac:dyDescent="0.25">
      <c r="A824" s="396" t="s">
        <v>349</v>
      </c>
      <c r="B824" s="397">
        <f>SUM(B822:B823)</f>
        <v>45344</v>
      </c>
      <c r="C824" s="398">
        <v>1</v>
      </c>
      <c r="J824" s="219"/>
    </row>
    <row r="825" spans="1:11" x14ac:dyDescent="0.25">
      <c r="B825" s="219"/>
    </row>
  </sheetData>
  <mergeCells count="149">
    <mergeCell ref="A706:A713"/>
    <mergeCell ref="A714:A719"/>
    <mergeCell ref="A720:A723"/>
    <mergeCell ref="A724:A732"/>
    <mergeCell ref="A733:A740"/>
    <mergeCell ref="A741:A748"/>
    <mergeCell ref="A749:A756"/>
    <mergeCell ref="A758:A802"/>
    <mergeCell ref="A819:F819"/>
    <mergeCell ref="B672:J675"/>
    <mergeCell ref="B676:C676"/>
    <mergeCell ref="B677:C677"/>
    <mergeCell ref="B678:C678"/>
    <mergeCell ref="B679:C679"/>
    <mergeCell ref="A683:A685"/>
    <mergeCell ref="A686:A692"/>
    <mergeCell ref="A693:A696"/>
    <mergeCell ref="A697:A705"/>
    <mergeCell ref="A663:B663"/>
    <mergeCell ref="C663:G663"/>
    <mergeCell ref="A664:B664"/>
    <mergeCell ref="C664:G664"/>
    <mergeCell ref="A665:B665"/>
    <mergeCell ref="C665:G665"/>
    <mergeCell ref="A666:B666"/>
    <mergeCell ref="C666:G666"/>
    <mergeCell ref="A667:B667"/>
    <mergeCell ref="A649:B649"/>
    <mergeCell ref="A650:B650"/>
    <mergeCell ref="A654:B654"/>
    <mergeCell ref="A655:B655"/>
    <mergeCell ref="A656:B656"/>
    <mergeCell ref="A657:B657"/>
    <mergeCell ref="A658:B658"/>
    <mergeCell ref="A662:B662"/>
    <mergeCell ref="C662:G662"/>
    <mergeCell ref="A641:B641"/>
    <mergeCell ref="A643:B643"/>
    <mergeCell ref="C643:G643"/>
    <mergeCell ref="A644:B644"/>
    <mergeCell ref="C644:G644"/>
    <mergeCell ref="A646:B646"/>
    <mergeCell ref="A647:B647"/>
    <mergeCell ref="C647:H647"/>
    <mergeCell ref="A648:B648"/>
    <mergeCell ref="C648:H648"/>
    <mergeCell ref="A635:B635"/>
    <mergeCell ref="A636:C636"/>
    <mergeCell ref="A637:B637"/>
    <mergeCell ref="C637:H637"/>
    <mergeCell ref="A638:B638"/>
    <mergeCell ref="C638:H638"/>
    <mergeCell ref="A639:B639"/>
    <mergeCell ref="C639:H639"/>
    <mergeCell ref="A640:B640"/>
    <mergeCell ref="B591:D591"/>
    <mergeCell ref="A607:I607"/>
    <mergeCell ref="A608:I608"/>
    <mergeCell ref="A624:I624"/>
    <mergeCell ref="A625:I625"/>
    <mergeCell ref="A626:I626"/>
    <mergeCell ref="A627:I627"/>
    <mergeCell ref="A628:I631"/>
    <mergeCell ref="B632:H632"/>
    <mergeCell ref="B525:F525"/>
    <mergeCell ref="B549:F549"/>
    <mergeCell ref="B571:D571"/>
    <mergeCell ref="B572:D572"/>
    <mergeCell ref="B573:D573"/>
    <mergeCell ref="B575:D575"/>
    <mergeCell ref="B576:C576"/>
    <mergeCell ref="B577:D577"/>
    <mergeCell ref="B579:C579"/>
    <mergeCell ref="B400:F400"/>
    <mergeCell ref="B413:F413"/>
    <mergeCell ref="B415:B416"/>
    <mergeCell ref="B424:B425"/>
    <mergeCell ref="B450:B451"/>
    <mergeCell ref="B464:B465"/>
    <mergeCell ref="B479:B480"/>
    <mergeCell ref="B497:B498"/>
    <mergeCell ref="B524:F524"/>
    <mergeCell ref="B301:E301"/>
    <mergeCell ref="B315:E315"/>
    <mergeCell ref="B322:D322"/>
    <mergeCell ref="B346:C346"/>
    <mergeCell ref="B348:E348"/>
    <mergeCell ref="B364:D364"/>
    <mergeCell ref="B375:F375"/>
    <mergeCell ref="B383:F383"/>
    <mergeCell ref="B398:E398"/>
    <mergeCell ref="B231:B232"/>
    <mergeCell ref="C231:C232"/>
    <mergeCell ref="D231:D232"/>
    <mergeCell ref="B243:B244"/>
    <mergeCell ref="B250:F250"/>
    <mergeCell ref="B252:E252"/>
    <mergeCell ref="B268:E268"/>
    <mergeCell ref="B276:D276"/>
    <mergeCell ref="B300:D300"/>
    <mergeCell ref="B200:B201"/>
    <mergeCell ref="C200:C201"/>
    <mergeCell ref="D200:D201"/>
    <mergeCell ref="B208:B209"/>
    <mergeCell ref="C208:C209"/>
    <mergeCell ref="D208:D209"/>
    <mergeCell ref="B218:B221"/>
    <mergeCell ref="C218:G218"/>
    <mergeCell ref="H218:M218"/>
    <mergeCell ref="C219:C221"/>
    <mergeCell ref="D219:D221"/>
    <mergeCell ref="E219:E221"/>
    <mergeCell ref="F219:F221"/>
    <mergeCell ref="G219:G221"/>
    <mergeCell ref="H219:H221"/>
    <mergeCell ref="I219:I221"/>
    <mergeCell ref="J219:J221"/>
    <mergeCell ref="K219:K221"/>
    <mergeCell ref="L219:L221"/>
    <mergeCell ref="M219:M221"/>
    <mergeCell ref="D102:D103"/>
    <mergeCell ref="E102:E103"/>
    <mergeCell ref="B107:D107"/>
    <mergeCell ref="B108:D108"/>
    <mergeCell ref="B111:F111"/>
    <mergeCell ref="B190:F190"/>
    <mergeCell ref="B192:C192"/>
    <mergeCell ref="B193:B194"/>
    <mergeCell ref="C193:C194"/>
    <mergeCell ref="D193:D194"/>
    <mergeCell ref="H56:H58"/>
    <mergeCell ref="I56:I58"/>
    <mergeCell ref="B69:C69"/>
    <mergeCell ref="B81:E81"/>
    <mergeCell ref="B83:B84"/>
    <mergeCell ref="C83:C84"/>
    <mergeCell ref="D83:D84"/>
    <mergeCell ref="B99:D99"/>
    <mergeCell ref="B101:F101"/>
    <mergeCell ref="G101:I101"/>
    <mergeCell ref="B45:E45"/>
    <mergeCell ref="B47:B48"/>
    <mergeCell ref="B54:C54"/>
    <mergeCell ref="B56:B58"/>
    <mergeCell ref="C56:C58"/>
    <mergeCell ref="D56:D58"/>
    <mergeCell ref="E56:E58"/>
    <mergeCell ref="F56:F58"/>
    <mergeCell ref="G56:G58"/>
  </mergeCells>
  <pageMargins left="0.70833333333333304" right="0.70833333333333304" top="1.3388888888888899" bottom="0.74791666666666701" header="0.511811023622047" footer="0.511811023622047"/>
  <pageSetup paperSize="9" scale="67" orientation="portrait" horizontalDpi="300" verticalDpi="300" r:id="rId1"/>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X5mrz0NfaJjHivPRJ8ZBM6D1r/i0X4oh6+u++NlQeQdBjU5K6GMOuEf/uPO0CGJl74oGxeoFZHng
o+LxQAoB+g==</DigestValue>
    </Reference>
    <Reference Type="http://www.w3.org/2000/09/xmldsig#Object" URI="#idOfficeObject">
      <DigestMethod Algorithm="http://www.w3.org/2001/04/xmlenc#sha512"/>
      <DigestValue>Vr0IGbz9dKS24Bo8rP8dF6iLRXspvF8HhV+ARmz0g04ceIl48uVDxrWJpIyb+FkIQDFRDYTDrTPJ
HNzoYbGwrA==</DigestValue>
    </Reference>
    <Reference Type="http://uri.etsi.org/01903#SignedProperties" URI="#idSignedProperties">
      <Transforms>
        <Transform Algorithm="http://www.w3.org/TR/2001/REC-xml-c14n-20010315"/>
      </Transforms>
      <DigestMethod Algorithm="http://www.w3.org/2001/04/xmlenc#sha512"/>
      <DigestValue>64KTjvXlj5Z2nAXyb7zhZ//pjWWnlvFfUjog/8/cHIqeUYQQmGaHPfn8zN/0vWD0a2QabdJFKL4c
TpSkNOm8kw==</DigestValue>
    </Reference>
  </SignedInfo>
  <SignatureValue>kDIEubk5x5ZisZk5CD3o+ViErD+nFfzIRYWlPfLS/pMkhx3u8boZ0ESPa8ufoInU+AD6P+4zPe7X
u3MAPC1rmeedckIaTg7D+EYRw77snUHJ5GtXp5ZWmBO2OSZlPN5RCSNuTW1xV5KldqcYRuavdUu2
bPElZuScORRbHxMfH/dF5CRIVlDEmYaIPO7S+jUgfpsun1LGQrmpvF7Q6/ES4FP7UsMuOycnNL5M
rZzKV1ans8yD/7PHuH3QxK0cL01qC5su6vFi7L6OVdFgIgL6D50KjkLuNeA6vYaS2sO2EnynTtSv
WOiPgtEhDyahOB5NOwkoUmJnPbeHCWyo/JP9UA==</SignatureValue>
  <KeyInfo>
    <X509Data>
      <X509Certificate>MIIHsTCCBZmgAwIBAgIRALdH/HPljRavSIzJ3ZDz64owDQYJKoZIhvcNAQENBQAwgYUxCzAJBgNVBAYTAlBZMQ0wCwYDVQQKEwRJQ1BQMTgwNgYDVQQLEy9QcmVzdGFkb3IgQ3VhbGlmaWNhZG8gZGUgU2VydmljaW9zIGRlIENvbmZpYW56YTEVMBMGA1UEAxMMQ09ERTEwMCBTLkEuMRYwFAYDVQQFEw1SVUM4MDA4MDYxMC03MB4XDTI1MDcyMjExMzIxOFoXDTI3MDcyMjExMzIxOFowgcMxCzAJBgNVBAYTAlBZMTYwNAYDVQQKDC1DRVJUSUZJQ0FETyBDVUFMSUZJQ0FETyBERSBGSVJNQSBFTEVDVFLDk05JQ0ExCzAJBgNVBAsTAkYyMRwwGgYDVQQEExNCVVNUTyBERSBBUlpBTUVORElBMRQwEgYDVQQqEwtET1JBIElTQUJFTDEoMCYGA1UEAxMfRE9SQSBJU0FCRUwgQlVTVE8gREUgQVJaQU1FTkRJQTERMA8GA1UEBRMIQ0k2OTA3ODEwggEiMA0GCSqGSIb3DQEBAQUAA4IBDwAwggEKAoIBAQCwgJkHgTkASU1JPOcQYqGFL1oy/VYAyKp6rCiOxiU8hfEbUK65hkJm6PPbr7PdN/9W1WY/WZxvn8jfC0gOxDkNfny2yFgLHiepx8tR8peOSh7dVWtDfWgdpetvb29wzaOI4aQ5uAt1wSzZn4D/SM9bCcBR2d96+2MzG/LGk0Qjof4TldmaPe0wQSyNAQ+4s7LT+GPW/HN5AOkMN/qa0v8U9yTwTECKzbrT8tuwxvGsr92Xu3Y61VlIsc9d+6+FVfeB2tVBgRigffWYHflzEAxEiCcAEhkQxkPZ6NwztmL1A4pntdPkJJf59pJir7MksAu7tnC1O6cXV39RoXAAbuG9AgMBAAGjggLaMIIC1jAMBgNVHRMBAf8EAjAAMB0GA1UdDgQWBBRsgz1/nxTwA7+2vVNE+Or6iVxc5TAfBgNVHSMEGDAWgBS+NVRiaGDnJtMxwV+XseL2ZM4H9TAOBgNVHQ8BAf8EBAMCBeAwUQYDVR0RBEowSIEZRE9SQS5BUlpBTUVORElB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fZ1FHAuqFT7eybFKGtxTv2t7SBOqzM/Jrfnji79/Toud9+q3QhBiD6dILXNPMQq8OUEc+4F9Tmme4geswuI9icU/4rCDHDluTr7pdoABusHmRK4ItkCM8ha5lQIO5XZb1+ehPCzhT9Re8cxvQzTfxn87SJKZFbf5oXJoRPQyFCjWdLs8QJacvapdC29dqYvv+5q3STgmF5tL0rbh6KVsM83gHqiYXRov1NhohVSb22gjEXiJqZOWw+uGEsX7QE1lvYeecqRUqanTbo0eV9NF4iAjOluZOvWWxeUubykr6oB8FHbeAdh8SFDaVySfwXJ8yBSmXd98/1b6a0ltj3NkisgAuuqLbiFI6Kd2EFlz5C01n3Mb4sDbE5LFi43uQduh7xVd6xbNuIXMzQby+uS8EoyjVf7NwgxWyrpOtUJwZ7rMx27bkZ0Bb2nxjcujP4d52Vp75N3wHZla94r/7j4FydVnE5wrQAIVcOuv2VvpUZPjV8zZabn0lsFcIpJO+WyIWBmmKDesMxo/9IN4PW7RBEYieaEl9LFqasMODq0kWHNVNoCriOzhKhhhnG5zXOuYfGHsznP09G+3W4zdVGg8xw4f+TjddLktMyTELaWedS3SSDl++s8njgjaR9DGTlmxNPEf6WGv4p4lVXkIqOaXvGFiaWN8e44ut+KqxGtWxO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512"/>
        <DigestValue>T77jB9b6dpSVvYotETuFyrQ0gl7i8YeX5acyy9a9DPaI5YBvqsiFsu/VRFxCEKwgPihhl1iN6KcljmaE5M5B/A==</DigestValue>
      </Reference>
      <Reference URI="/xl/calcChain.xml?ContentType=application/vnd.openxmlformats-officedocument.spreadsheetml.calcChain+xml">
        <DigestMethod Algorithm="http://www.w3.org/2001/04/xmlenc#sha512"/>
        <DigestValue>yVcyf5+QORqME+FuOR4LVpw812wnKt/rh5jUkuH10CRwzc8enWgdp5z8MjlFEssNLiCGJCcAvOm4Zjztp8kwDw==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H80z78lftni+1SJRJaqwjGCeGOQGTnZCm6hXslWuMyx2+LRoEv/ELQFhJkdNya6YdI/sNmXtYaMyN1GXx8L1YQ==</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H80z78lftni+1SJRJaqwjGCeGOQGTnZCm6hXslWuMyx2+LRoEv/ELQFhJkdNya6YdI/sNmXtYaMyN1GXx8L1YQ==</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H80z78lftni+1SJRJaqwjGCeGOQGTnZCm6hXslWuMyx2+LRoEv/ELQFhJkdNya6YdI/sNmXtYaMyN1GXx8L1YQ==</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H80z78lftni+1SJRJaqwjGCeGOQGTnZCm6hXslWuMyx2+LRoEv/ELQFhJkdNya6YdI/sNmXtYaMyN1GXx8L1YQ==</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rRRaXaQHOcXXfJ4UHE3i6bbNQ/kklThflEEKODz7trpT5lK0pJ58BBoJH03lTwtpxyKw2ySl1QOIZo9oyuZj8Q==</DigestValue>
      </Reference>
      <Reference URI="/xl/drawings/drawing1.xml?ContentType=application/vnd.openxmlformats-officedocument.drawing+xml">
        <DigestMethod Algorithm="http://www.w3.org/2001/04/xmlenc#sha512"/>
        <DigestValue>2t8gZRoS8xqvQIzWYVUtUAoTeHqKgyA9Vv2lVesi4DSHjcjffkjyYLoj4qZz3ViWePzdLHNDU+h1IP1POv7zOA==</DigestValue>
      </Reference>
      <Reference URI="/xl/drawings/drawing2.xml?ContentType=application/vnd.openxmlformats-officedocument.drawing+xml">
        <DigestMethod Algorithm="http://www.w3.org/2001/04/xmlenc#sha512"/>
        <DigestValue>yoFF2iF/UKAptE+GFuCluRV/U2ldbGxWidXgzTTNhUMW1VZUceqNgWmUH5re9g2T5yHwvPJQT+Ijg67aDG7Wvg==</DigestValue>
      </Reference>
      <Reference URI="/xl/drawings/drawing3.xml?ContentType=application/vnd.openxmlformats-officedocument.drawing+xml">
        <DigestMethod Algorithm="http://www.w3.org/2001/04/xmlenc#sha512"/>
        <DigestValue>QlCpHkZZm8A+AkVDBGxzcgXf0YTHqWsRC/+gq+P/GUT8xFfK5UCPGI7Dt6wK56aD9qWkeqFgtDoZV6MK0ThqzA==</DigestValue>
      </Reference>
      <Reference URI="/xl/drawings/drawing4.xml?ContentType=application/vnd.openxmlformats-officedocument.drawing+xml">
        <DigestMethod Algorithm="http://www.w3.org/2001/04/xmlenc#sha512"/>
        <DigestValue>3IO/dYHoYZW+u6htrAo5d2pmhH/6yTddCux8p+8qF/ERqEu7CdsfIWoPHfSH/qWtvtMSxmV7kXw78k9oUW1Ajw==</DigestValue>
      </Reference>
      <Reference URI="/xl/drawings/drawing5.xml?ContentType=application/vnd.openxmlformats-officedocument.drawing+xml">
        <DigestMethod Algorithm="http://www.w3.org/2001/04/xmlenc#sha512"/>
        <DigestValue>YmQr8yNXhk4ZSinxEOjC2L7BFOL4JO8CauTsKsePdCFuglt0Ls815eeGSqcq6D/VmgUWwnVnHe6PFP5Sygr22Q==</DigestValue>
      </Reference>
      <Reference URI="/xl/drawings/drawing6.xml?ContentType=application/vnd.openxmlformats-officedocument.drawing+xml">
        <DigestMethod Algorithm="http://www.w3.org/2001/04/xmlenc#sha512"/>
        <DigestValue>6khQlvGlpv1eXcuG15udSyvIpdCp7bGyCv/jJFnBh/oBzAryitD66MseuAOFtLNQVA4lpQEGzR2LDbvSCbdTaA==</DigestValue>
      </Reference>
      <Reference URI="/xl/media/image1.png?ContentType=image/png">
        <DigestMethod Algorithm="http://www.w3.org/2001/04/xmlenc#sha512"/>
        <DigestValue>sGnGlaB3VK7Fhq86u6kcy/9OgajIuQHPQKbDinyEKSl5D4YPw9rUKi6SWqIKYBjts7kA/Gu4azKrYukz5mRb6A==</DigestValue>
      </Reference>
      <Reference URI="/xl/media/image2.jpeg?ContentType=image/jpeg">
        <DigestMethod Algorithm="http://www.w3.org/2001/04/xmlenc#sha512"/>
        <DigestValue>M1xkMiofYdUbjCi6B1K7aFIyfes8MDqY3otwg8dRifo19UZ3bbdCQNpRNCywv7r1wMij3O6d7laBMzqH22NMdw==</DigestValue>
      </Reference>
      <Reference URI="/xl/media/image3.jpeg?ContentType=image/jpeg">
        <DigestMethod Algorithm="http://www.w3.org/2001/04/xmlenc#sha512"/>
        <DigestValue>5YSKN6znWk7MJxooh0xt19yjaGSHvYHSUjK13mN3GuleowK5vKgFO7FS3CAimJFsEwp9iD2iepHqKrd5kFIu5g==</DigestValue>
      </Reference>
      <Reference URI="/xl/printerSettings/printerSettings1.bin?ContentType=application/vnd.openxmlformats-officedocument.spreadsheetml.printerSettings">
        <DigestMethod Algorithm="http://www.w3.org/2001/04/xmlenc#sha512"/>
        <DigestValue>jxVMru1nmTyzsU1lW8vJKCKb4L6Xc+zNIH90TIUSXHPGNYXxhSnYLqlNiMJChowHJcWAehTINl51Ub8p8QLvaw==</DigestValue>
      </Reference>
      <Reference URI="/xl/sharedStrings.xml?ContentType=application/vnd.openxmlformats-officedocument.spreadsheetml.sharedStrings+xml">
        <DigestMethod Algorithm="http://www.w3.org/2001/04/xmlenc#sha512"/>
        <DigestValue>WZM3y0MkctHAyoHwhUqDhjeewqIK27cJg1CrQCIpZh0dfW0j3G9m7EL2W6ChmVm5OpHSbmh/ogYKL742yvuq2w==</DigestValue>
      </Reference>
      <Reference URI="/xl/styles.xml?ContentType=application/vnd.openxmlformats-officedocument.spreadsheetml.styles+xml">
        <DigestMethod Algorithm="http://www.w3.org/2001/04/xmlenc#sha512"/>
        <DigestValue>ntOr5k1USV5CvEAC9zqz9e0YLIvdwvTqYKSsKBh10/jdfChmHEAe0vFb7XWEfMJdGm2ahUg5ltICx7e6XUVFeQ==</DigestValue>
      </Reference>
      <Reference URI="/xl/theme/theme1.xml?ContentType=application/vnd.openxmlformats-officedocument.theme+xml">
        <DigestMethod Algorithm="http://www.w3.org/2001/04/xmlenc#sha512"/>
        <DigestValue>A3ZHS3HBB/MImhwluJxg/ovLd4QVOfCsFTt9v1pAusgJeNINVKsVacL2FhdRsAcS0HS2u29u3p94DRUgb7I1vQ==</DigestValue>
      </Reference>
      <Reference URI="/xl/workbook.xml?ContentType=application/vnd.openxmlformats-officedocument.spreadsheetml.sheet.main+xml">
        <DigestMethod Algorithm="http://www.w3.org/2001/04/xmlenc#sha512"/>
        <DigestValue>QkYpJ81kVGH4FoF7z9//jGISiZt+q1PLyCsEPRdeU/wMap6rGJrWL3ATVoIG5IuAChygC8FODF5b48QUmQIjuw==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GpvK91WPJON4pVPzruCWE3wPGudxLRbY7t2Mr1CSNfdF5jp1inD/p7tOi5p6HZgD7SrQSW70NzM1PZXxhEcltA==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ZsYZ8XmaZuDz+p+C8rcUI2LPxmo0+NguPtISDPaQcyaHehi/8giQM+fPy2SKib7TQ0wT6D8YL55CTlPQH5x4oA==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W6CE95cSVzM+Uxaz1vqVnIdFL4wPJlKvsUG5Ueh7q9BeKHvH279fxGf7MqgALN/Cx5bGgMQ2NIwU3IJQ3wlnDQ==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ZxmoVB7V2dMp65jSbD91DY/FbA4IbgShHw+Mapu//rBKEV3fABi8gWYggnGTgm9yRW/fLqogOUVWFPETsbxppw==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NnIcSGWhiCwJzMYbbW/jyzgC8+44nnR8Q+jyooh/Zyw1xLaHhOzXUNDfqQ7bDcxWRwoKvLLEs7SmnQM3QO2tCA==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Iz6SoI18dC/rmxEg+2nIlazEZNjToC6VJWEAR/ceDPwkmI96wqhULogX8qcnsDlj8Defe6qq42QeLwbHlZm1hw==</DigestValue>
      </Reference>
      <Reference URI="/xl/worksheets/sheet1.xml?ContentType=application/vnd.openxmlformats-officedocument.spreadsheetml.worksheet+xml">
        <DigestMethod Algorithm="http://www.w3.org/2001/04/xmlenc#sha512"/>
        <DigestValue>+4IuPWeMqj9GvPzzFCVQISmWWcaLk0tVsyU9KcUo2ZSEa/fbMBNSJ26vt8OdTxXIr9wDxgttFBFQg3aWJGjUHw==</DigestValue>
      </Reference>
      <Reference URI="/xl/worksheets/sheet2.xml?ContentType=application/vnd.openxmlformats-officedocument.spreadsheetml.worksheet+xml">
        <DigestMethod Algorithm="http://www.w3.org/2001/04/xmlenc#sha512"/>
        <DigestValue>xDJp/sDeV6aPOIBK+TbjoWVBn84/hRrnkpxG36MvdUqDbiPtf9KaeqgqisEx++WeIArgPQq7sZjx3/Sg2gtUYg==</DigestValue>
      </Reference>
      <Reference URI="/xl/worksheets/sheet3.xml?ContentType=application/vnd.openxmlformats-officedocument.spreadsheetml.worksheet+xml">
        <DigestMethod Algorithm="http://www.w3.org/2001/04/xmlenc#sha512"/>
        <DigestValue>NUBgu7QJ35acwDrRdRFc0B9kPvsmexGC+g2UcBSxuuqQFe7FXrLMH6jf1pREMm1Cp9KMQcK5vgr1Bom7HC+LRQ==</DigestValue>
      </Reference>
      <Reference URI="/xl/worksheets/sheet4.xml?ContentType=application/vnd.openxmlformats-officedocument.spreadsheetml.worksheet+xml">
        <DigestMethod Algorithm="http://www.w3.org/2001/04/xmlenc#sha512"/>
        <DigestValue>oXOoKksdbrCP3ctPKAhSiq5vMW33OPlMMbLFyfx3uO18pV4WqP4Z6dkVCyD4zLWbPFR34yml2Ivbh9zMQl1/DQ==</DigestValue>
      </Reference>
      <Reference URI="/xl/worksheets/sheet5.xml?ContentType=application/vnd.openxmlformats-officedocument.spreadsheetml.worksheet+xml">
        <DigestMethod Algorithm="http://www.w3.org/2001/04/xmlenc#sha512"/>
        <DigestValue>KiwVjXhalFWBmrZ+zLUvwbmGCO/W7oyvGE2roUtQ0ZSyp1dSdQu6SOyarp6RclmJ1KdG3Zh/EzwzceN0FkYLqg==</DigestValue>
      </Reference>
      <Reference URI="/xl/worksheets/sheet6.xml?ContentType=application/vnd.openxmlformats-officedocument.spreadsheetml.worksheet+xml">
        <DigestMethod Algorithm="http://www.w3.org/2001/04/xmlenc#sha512"/>
        <DigestValue>yxrNieO4nwqiPqtOCso9qWNfhXqoec85mEgu9hlAot2TC1mNxb/UFi5BVbtGFXEWRx4BTFxm5YXpC8k+jhFUwQ==</DigestValue>
      </Reference>
    </Manifest>
    <SignatureProperties>
      <SignatureProperty Id="idSignatureTime" Target="#idPackageSignature">
        <mdssi:SignatureTime xmlns:mdssi="http://schemas.openxmlformats.org/package/2006/digital-signature">
          <mdssi:Format>YYYY-MM-DDThh:mm:ssTZD</mdssi:Format>
          <mdssi:Value>2026-05-16T12:36:09Z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16.0.20026/27</OfficeVersion>
          <ApplicationVersion>16.0.20026</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2026-05-16T12:36:09Z</xd:SigningTime>
          <xd:SigningCertificate>
            <xd:Cert>
              <xd:CertDigest>
                <DigestMethod Algorithm="http://www.w3.org/2001/04/xmlenc#sha512"/>
                <DigestValue>KsbzTr6KF7s7y7Vyw+YeawJ7gAhXpeq3Mb58V1SEhIfUegJ0nui/xFq1gZSGp0/czwWrw6RRMbt+jSW29GOl6Q==</DigestValue>
              </xd:CertDigest>
              <xd:IssuerSerial>
                <X509IssuerName>SERIALNUMBER=RUC80080610-7, CN=CODE100 S.A., OU=Prestador Cualificado de Servicios de Confianza, O=ICPP, C=PY</X509IssuerName>
                <X509SerialNumber>243622496655097019779492309939457878922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5FH9qpNkEYgUzE4RB1bIXak/3yQmzi64RQiBbG7xTd0=</DigestValue>
    </Reference>
    <Reference Type="http://www.w3.org/2000/09/xmldsig#Object" URI="#idOfficeObject">
      <DigestMethod Algorithm="http://www.w3.org/2001/04/xmlenc#sha256"/>
      <DigestValue>zuYxEr+QGC/BIDgYRqNLqFT5N/GMdJpN29e4V8/nJ+A=</DigestValue>
    </Reference>
    <Reference Type="http://uri.etsi.org/01903#SignedProperties" URI="#idSignedProperties">
      <Transforms>
        <Transform Algorithm="http://www.w3.org/TR/2001/REC-xml-c14n-20010315"/>
      </Transforms>
      <DigestMethod Algorithm="http://www.w3.org/2001/04/xmlenc#sha256"/>
      <DigestValue>QMXz2yBqRwEWjppAZ1xE0Sp5ctL2MnCH9BMcSfkCD2I=</DigestValue>
    </Reference>
  </SignedInfo>
  <SignatureValue>0hp1SilOJAnFsilJczh5BG8MqCKPsM5k91icm+bXKu2ZX1PRXA5qdGK3fcGKmtSHLjcqrKklPWnw
UvaY6PJ3iG6Jnt/81n7BJP++r0zAwKdHORhB9CX2PBOXZZ6FQdtVo8oFpk8RLGbh7QO08w/aeCfl
WDv5t7FmPVDUkk22IlOnaNRPxnK9/77Ns+iJpSiQKDNl9dXalo8wFKzRUyAFXESctq42p+AOre5o
6EvJplDHIzLdKppLFijWxdfPhDk0euGfutgVfc84YHKRB6hwNyD/BpNszgOVhnMOfn8aa6a0Lg6d
YqC1sT6YYvCuCSRsLRsL2BoG5lJC+flYPjcnyw==</SignatureValue>
  <KeyInfo>
    <X509Data>
      <X509Certificate>MIIIkjCCBnqgAwIBAgIQJnkc+vjYPZ9mcbPiRLIcGzANBgkqhkiG9w0BAQsFADCBgTEWMBQGA1UEBRMNUlVDODAwODAwOTktMDERMA8GA1UEAxMIVklUIFMuQS4xODA2BgNVBAsML1ByZXN0YWRvciBDdWFsaWZpY2FkbyBkZSBTZXJ2aWNpb3MgZGUgQ29uZmlhbnphMQ0wCwYDVQQKDARJQ1BQMQswCQYDVQQGEwJQWTAeFw0yNDA2MTgxNjIwNTBaFw0yNjA2MTgxNjIwNTBaMIG9MRYwFAYDVQQqDA1EQU5JRUwgQU5EUkVTMRcwFQYDVQQEDA5NT1JFTk8gQk9HQVJJTjESMBAGA1UEBRMJQ0kxMDEyODI1MSUwIwYDVQQDDBxEQU5JRUwgQU5EUkVTIE1PUkVOTyBCT0dBUklOMQswCQYDVQQLDAJGMjE1MDMGA1UECgwsQ0VSVElGSUNBRE8gQ1VBTElGSUNBRE8gREUgRklSTUEgRUxFQ1RST05JQ0ExCzAJBgNVBAYTAlBZMIIBIjANBgkqhkiG9w0BAQEFAAOCAQ8AMIIBCgKCAQEA//rdQFBmiphuFdpjE+yDXPZyfMmf7/ahqr777ZR4vCEQba0AlmEOa+6Bt7AUIk5HSFI0h8M0Q6T6o+oB5ugF9zF+UgP4vV+9Kd+kKsRy8jnyipr/hP2YuR2WgVEo6Tw99kT8JcXSpfPOkcTkjTWzxIWnUTW3k947G96TVdB6sdNIy2z9VTLaOukDc4yguF75Ntg1kM61QdZJ1z2AERD2zxXbx82i/6n/2zH9MSZhP0wUXt+rfDUIoIWYg2zLIwSZQ7+FXdAbTQus76oeYEDaMtKZesrrGQCO43/IYl9D7oHmuiQnktFeG+D5lADp3EMIztS63A/VB0WuI2p3hDfizwIDAQABo4IDxjCCA8IwDAYDVR0TAQH/BAIwADAOBgNVHQ8BAf8EBAMCBeAwLAYDVR0lAQH/BCIwIAYIKwYBBQUHAwQGCCsGAQUFBwMCBgorBgEEAYI3FAICMB0GA1UdDgQWBBQiH/8jkfP+GpiCXG3JaZGZkHa+XTAfBgNVHSMEGDAWgBS7ZRErZ+2GOCAcKGcZFARl6pGhszCCAesGA1UdIASCAeIwggHeMIIB2gYMKwYBBAGC2UoBAQEHMIIByDAxBggrBgEFBQcCARYlaHR0cHM6Ly93d3cuZWZpcm1hLmNvbS5weS9yZXBvc2l0b3JpbzCBzwYIKwYBBQUHAgIwgcIagb9DZXJ0aWZpY2FkbyBDdWFsaWZpY2FkbyBkZSBGaXJtYSBFbGVjdHLzbmljYSBUaXBvIEYyIChjbGF2ZXMgZW4gZGlzcG9zaXRpdm8gY3VhbGlmaWNhZG8pLCBzdWpldGEgYSBsYXMgY29uZGljaW9uZXMgZGUgdXNvIGV4cHVlc3RhcyBlbiBsYSBEZWNsYXJhY2nzbiBkZSBQcuFjdGljYXMgZGUgQ2VydGlmaWNhY2nzbiBkZSBWSVQgUy5BLjCBwAYIKwYBBQUHAgIwgbMagbBRdWFsaWZpZWQgY2VydGlmaWNhdGUgb2YgZWxlY3Ryb25pYyBzaWduYXR1cmUgdHlwZSBGMiAoa2V5cyBpbiBxdWFsaWZpZWQgZGV2aWNlKSwgc3ViZHVlZCB0byB0aGUgY29uZGl0aW9ucyBvZiB1c2Ugc2V0IGZvcnRoIGluIHRoZSBDZXJ0aWZpY2F0aW9uIFByYWN0aWNlIFN0YXRlbWVudCBvZiBWSVQgUy5BLjBPBgNVHREESDBGgRhEQU5JRUxNT1JFTk83NkBHTUFJTC5DT02kKjAoMSYwJAYDVQQNDB1GSVJNQSBFTEVDVFJPTklDQSBDVUFMSUZJQ0FEQTB3BggrBgEFBQcBAQRrMGkwKAYIKwYBBQUHMAGGHGh0dHBzOi8vd3d3LmVmaXJtYS5jb20ucHkvdmEwPQYIKwYBBQUHMAKGMWh0dHBzOi8vd3d3LmVmaXJtYS5jb20ucHkvcmVwb3NpdG9yaW8vZWZpcm1hMS5jcnQwewYDVR0fBHQwcjA3oDWgM4YxaHR0cHM6Ly93d3cuZWZpcm1hLmNvbS5weS9yZXBvc2l0b3Jpby9lZmlybWEyLmNybDA3oDWgM4YxaHR0cHM6Ly93d3cuZWZpcm1hLmNvbS5weS9yZXBvc2l0b3Jpby9lZmlybWEzLmNybDANBgkqhkiG9w0BAQsFAAOCAgEADvdeYgczMtoklHIKb0rsjbj4QLt9JxIYOgPuIM0kYCP/cEBqn1FJTCTsQfcTl6tCrVNMLqfiKFJ5fh5dAEpwQbtPqU1X+VBSGgwoeVZiUvD3TiB6E/O3HzkUaREmqyL3Bw1f6xTDkYTNaDFdetloD0xMd2lDMTlLL3BXOLh0FTDkqhjcPi1+rntMx/qfuD6Xr+eHb0DX4jNwCpkm53/DBhJaWQgqDbYfg/ghWFZZQEjzzMzl5hWctQ870Pnca5pMb+2cpyd259WAmLZDwp9+eKCRMBuxR5oKBlmBzUgtlQ6QUqByA/lT19a3rhx7CXuhJ6sLcMF7KOsMBnm+W9q0OpVf0IwjZBqB770T/25BBGRiOG+fsM9rp1iZucr4Wz24pAZidSeTRp6hJ0fVklVfRGLD2PMriwht5v8HlC2ipRqJGqW53POepdzNt+Qzg1D78/TWUmeskVQhgvFtKINZd2rJrQ4tECxS07873JaHDyigrdn9rQ59OpHgDPKwgjFCeLlS/Sb58r08LTXTZLuoTDTmDUFFyDn2C6R0GXvg4+lD+Sf3Xl09XK2Own156s+ygOWcAGa6EHw4k9Y+mWzI+SRhFizO6oVpWCiTRuxCQzxSWKSlq6hStGyX0bjjLIAAmitiZc/L1uWN4QRfbKqjPgp4uS58aNbQpSSBcnzvb1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lzLbaIzpG443ZAmlR8oaCgxFoLmp2QKXFIw9ML8wpds=</DigestValue>
      </Reference>
      <Reference URI="/xl/calcChain.xml?ContentType=application/vnd.openxmlformats-officedocument.spreadsheetml.calcChain+xml">
        <DigestMethod Algorithm="http://www.w3.org/2001/04/xmlenc#sha256"/>
        <DigestValue>y8jAee7vcdji7Vgon2E5+bCnQ6AiEVO9Jh1SgjXfwRo=</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PoORoF5QkIhatxBoAqsSyHbXfQolck0Fj5kuIk44OuE=</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PoORoF5QkIhatxBoAqsSyHbXfQolck0Fj5kuIk44OuE=</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PoORoF5QkIhatxBoAqsSyHbXfQolck0Fj5kuIk44OuE=</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PoORoF5QkIhatxBoAqsSyHbXfQolck0Fj5kuIk44OuE=</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V36SKR7s6zN+dPfpLTn0XwD2z6Xatj2GPc8KgBimHdo=</DigestValue>
      </Reference>
      <Reference URI="/xl/drawings/drawing1.xml?ContentType=application/vnd.openxmlformats-officedocument.drawing+xml">
        <DigestMethod Algorithm="http://www.w3.org/2001/04/xmlenc#sha256"/>
        <DigestValue>MpJbHJOgbrOCnMSr+q/dsmOCxuzns9Zh9nZLeRbTgwc=</DigestValue>
      </Reference>
      <Reference URI="/xl/drawings/drawing2.xml?ContentType=application/vnd.openxmlformats-officedocument.drawing+xml">
        <DigestMethod Algorithm="http://www.w3.org/2001/04/xmlenc#sha256"/>
        <DigestValue>JqsWdIABNbuHD4pPB5U5YAlDwUtfflAWb1L/Q56f6lo=</DigestValue>
      </Reference>
      <Reference URI="/xl/drawings/drawing3.xml?ContentType=application/vnd.openxmlformats-officedocument.drawing+xml">
        <DigestMethod Algorithm="http://www.w3.org/2001/04/xmlenc#sha256"/>
        <DigestValue>UjA3XaS6NsCBBGlnRg6ealLoOfBQEuuc3Q7Sen85r4Q=</DigestValue>
      </Reference>
      <Reference URI="/xl/drawings/drawing4.xml?ContentType=application/vnd.openxmlformats-officedocument.drawing+xml">
        <DigestMethod Algorithm="http://www.w3.org/2001/04/xmlenc#sha256"/>
        <DigestValue>BkV2QsLusnkoQvEm+CMKIrVMyIv76KueKoLsdbzOXE4=</DigestValue>
      </Reference>
      <Reference URI="/xl/drawings/drawing5.xml?ContentType=application/vnd.openxmlformats-officedocument.drawing+xml">
        <DigestMethod Algorithm="http://www.w3.org/2001/04/xmlenc#sha256"/>
        <DigestValue>QH7QX+ZTU4qJdY0Xd+Fz6KI6BLadTrMFW7Kxw8CbS7s=</DigestValue>
      </Reference>
      <Reference URI="/xl/drawings/drawing6.xml?ContentType=application/vnd.openxmlformats-officedocument.drawing+xml">
        <DigestMethod Algorithm="http://www.w3.org/2001/04/xmlenc#sha256"/>
        <DigestValue>UtyewkpeglfWmqq+wg2aFiWps/o+InAXDOGWSQzvBLM=</DigestValue>
      </Reference>
      <Reference URI="/xl/media/image1.png?ContentType=image/png">
        <DigestMethod Algorithm="http://www.w3.org/2001/04/xmlenc#sha256"/>
        <DigestValue>gsWH99sp3UUz6MV59nFlnQ75GjEMleB3jPlQy7lOlJw=</DigestValue>
      </Reference>
      <Reference URI="/xl/media/image2.jpeg?ContentType=image/jpeg">
        <DigestMethod Algorithm="http://www.w3.org/2001/04/xmlenc#sha256"/>
        <DigestValue>LPPuVBC3Sfjf2kaKosbZ8ndC6S3NoFVnQGFGlyB7GfI=</DigestValue>
      </Reference>
      <Reference URI="/xl/media/image3.jpeg?ContentType=image/jpeg">
        <DigestMethod Algorithm="http://www.w3.org/2001/04/xmlenc#sha256"/>
        <DigestValue>VXnaYwfMdd5Z+X5zSY4WqB2iGMec0TG4jAhqUC1K2lQ=</DigestValue>
      </Reference>
      <Reference URI="/xl/printerSettings/printerSettings1.bin?ContentType=application/vnd.openxmlformats-officedocument.spreadsheetml.printerSettings">
        <DigestMethod Algorithm="http://www.w3.org/2001/04/xmlenc#sha256"/>
        <DigestValue>ANY/2LLWVEBwCPwP1soG2Z0RKtsyHpCEXmfdFRascF4=</DigestValue>
      </Reference>
      <Reference URI="/xl/sharedStrings.xml?ContentType=application/vnd.openxmlformats-officedocument.spreadsheetml.sharedStrings+xml">
        <DigestMethod Algorithm="http://www.w3.org/2001/04/xmlenc#sha256"/>
        <DigestValue>Qa2XXnCiA/Xqy4NDimnuy2y1JWXdM2jehu0rBPYsuek=</DigestValue>
      </Reference>
      <Reference URI="/xl/styles.xml?ContentType=application/vnd.openxmlformats-officedocument.spreadsheetml.styles+xml">
        <DigestMethod Algorithm="http://www.w3.org/2001/04/xmlenc#sha256"/>
        <DigestValue>6ZfW+AbMC9+Mcdsz0iCMfHy+1B5Of4j0K1hhAbe4Bpo=</DigestValue>
      </Reference>
      <Reference URI="/xl/theme/theme1.xml?ContentType=application/vnd.openxmlformats-officedocument.theme+xml">
        <DigestMethod Algorithm="http://www.w3.org/2001/04/xmlenc#sha256"/>
        <DigestValue>uby/W9TdHmB6cVfeXUi3MlfSZbhOJnBY/orobXIL60M=</DigestValue>
      </Reference>
      <Reference URI="/xl/workbook.xml?ContentType=application/vnd.openxmlformats-officedocument.spreadsheetml.sheet.main+xml">
        <DigestMethod Algorithm="http://www.w3.org/2001/04/xmlenc#sha256"/>
        <DigestValue>LHo2qD5CW7B/RVgarMl6gAyMy3oH94KQqCVmbvtfbls=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oY0oKg4yB0FiSyDpS+lW7ZLMeZcI5wvg+y8nqaThVbI=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lHnnYDirKb6jIxGHnqbP97pjMgmbUlToG4p69Ye0Gm8=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nUVdzvshlLUgRaM7X4sHX/9tln+OftfDhfnaA+Y9Nzk=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y+WpNtGIt12R9jLFTmLLn89fEeCDfd6tGhw18EoAHwU=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aAR6l/b3SiQsGMPtnMeHmzfsh0crtT1C5+UxP55whIA=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1K1bWqm5nvoO51R7BUZIlIOaque6G+fJrJrRgQ9N50M=</DigestValue>
      </Reference>
      <Reference URI="/xl/worksheets/sheet1.xml?ContentType=application/vnd.openxmlformats-officedocument.spreadsheetml.worksheet+xml">
        <DigestMethod Algorithm="http://www.w3.org/2001/04/xmlenc#sha256"/>
        <DigestValue>lQoNRVmO3gyNatCrqKngyouNhpxMeIB5BNcQXBLl8aI=</DigestValue>
      </Reference>
      <Reference URI="/xl/worksheets/sheet2.xml?ContentType=application/vnd.openxmlformats-officedocument.spreadsheetml.worksheet+xml">
        <DigestMethod Algorithm="http://www.w3.org/2001/04/xmlenc#sha256"/>
        <DigestValue>mxSHx/C9rf+tTK689XzQKEnF+ZWwwgMLyUcZ2j+3MDY=</DigestValue>
      </Reference>
      <Reference URI="/xl/worksheets/sheet3.xml?ContentType=application/vnd.openxmlformats-officedocument.spreadsheetml.worksheet+xml">
        <DigestMethod Algorithm="http://www.w3.org/2001/04/xmlenc#sha256"/>
        <DigestValue>B8n7uyY7Hw/S1UyczZYYnWssbr1SHRh3vpV5UpBsui4=</DigestValue>
      </Reference>
      <Reference URI="/xl/worksheets/sheet4.xml?ContentType=application/vnd.openxmlformats-officedocument.spreadsheetml.worksheet+xml">
        <DigestMethod Algorithm="http://www.w3.org/2001/04/xmlenc#sha256"/>
        <DigestValue>Nfrvqao6nTIS8AaNexwpRjgDqGrZPp7ChMn+R7Je5aI=</DigestValue>
      </Reference>
      <Reference URI="/xl/worksheets/sheet5.xml?ContentType=application/vnd.openxmlformats-officedocument.spreadsheetml.worksheet+xml">
        <DigestMethod Algorithm="http://www.w3.org/2001/04/xmlenc#sha256"/>
        <DigestValue>sNHIUv+M3yhxgJQYZ0+p530PNI8m49ZRXvdetf+VjvM=</DigestValue>
      </Reference>
      <Reference URI="/xl/worksheets/sheet6.xml?ContentType=application/vnd.openxmlformats-officedocument.spreadsheetml.worksheet+xml">
        <DigestMethod Algorithm="http://www.w3.org/2001/04/xmlenc#sha256"/>
        <DigestValue>mjbUgb0xYXi8cjEiKk/6zD7PTZyS1hmVm07nGlu3xy8=</DigestValue>
      </Reference>
    </Manifest>
    <SignatureProperties>
      <SignatureProperty Id="idSignatureTime" Target="#idPackageSignature">
        <mdssi:SignatureTime xmlns:mdssi="http://schemas.openxmlformats.org/package/2006/digital-signature">
          <mdssi:Format>YYYY-MM-DDThh:mm:ssTZD</mdssi:Format>
          <mdssi:Value>2026-05-18T13:27:25Z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2026-05-18T13:27:25Z</xd:SigningTime>
          <xd:SigningCertificate>
            <xd:Cert>
              <xd:CertDigest>
                <DigestMethod Algorithm="http://www.w3.org/2001/04/xmlenc#sha256"/>
                <DigestValue>R9/FqdE73XvAsUwfnjwsnUgUkouKzMYWrKYWhgK2fhM=</DigestValue>
              </xd:CertDigest>
              <xd:IssuerSerial>
                <X509IssuerName>C=PY, O=ICPP, OU=Prestador Cualificado de Servicios de Confianza, CN=VIT S.A., SERIALNUMBER=RUC80080099-0</X509IssuerName>
                <X509SerialNumber>51139519551232749543753106017804753947</X509SerialNumber>
              </xd:IssuerSerial>
            </xd:Cert>
          </xd:SigningCertificate>
          <xd:SignaturePolicyIdentifier>
            <xd:SignaturePolicyImplied/>
          </xd:SignaturePolicyIdentifier>
        </xd:SignedSignatureProperties>
      </xd:SignedProperties>
    </xd:QualifyingProperties>
  </Object>
</Signature>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CARATULA </vt:lpstr>
      <vt:lpstr>Balance General</vt:lpstr>
      <vt:lpstr>Estado de Resultados</vt:lpstr>
      <vt:lpstr>Variación PN</vt:lpstr>
      <vt:lpstr>Flujo de Efectivo</vt:lpstr>
      <vt:lpstr>Notas a los EEFF</vt:lpstr>
      <vt:lpstr>'Notas a los EEFF'!Área_de_impresión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Diario</dc:creator>
  <dc:description/>
  <cp:lastModifiedBy>Dora Busto de Arzamendia</cp:lastModifiedBy>
  <cp:revision>0</cp:revision>
  <cp:lastPrinted>2026-05-13T14:36:10Z</cp:lastPrinted>
  <dcterms:created xsi:type="dcterms:W3CDTF">2020-08-05T19:03:26Z</dcterms:created>
  <dcterms:modified xsi:type="dcterms:W3CDTF">2026-05-16T12:27:12Z</dcterms:modified>
  <dc:language>en-US</dc:language>
</cp:coreProperties>
</file>