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docs.live.net/aced4a89621b6b2b/Documentos/CAPITAL MARKET/Año 2025/SIV/"/>
    </mc:Choice>
  </mc:AlternateContent>
  <xr:revisionPtr revIDLastSave="0" documentId="8_{4CB186AE-8A06-4F7C-92A3-ECC38D657223}" xr6:coauthVersionLast="47" xr6:coauthVersionMax="47" xr10:uidLastSave="{00000000-0000-0000-0000-000000000000}"/>
  <bookViews>
    <workbookView xWindow="-120" yWindow="-120" windowWidth="24240" windowHeight="13020" tabRatio="888" firstSheet="1" activeTab="5" xr2:uid="{00000000-000D-0000-FFFF-FFFF00000000}"/>
  </bookViews>
  <sheets>
    <sheet name="CARATULA " sheetId="16" r:id="rId1"/>
    <sheet name="Balance General" sheetId="3" r:id="rId2"/>
    <sheet name="Estado de Resultados" sheetId="4" r:id="rId3"/>
    <sheet name="Variación PN" sheetId="15" r:id="rId4"/>
    <sheet name="Flujo de Efectivo" sheetId="5" r:id="rId5"/>
    <sheet name="Notas a los EEFF" sheetId="7" r:id="rId6"/>
  </sheets>
  <definedNames>
    <definedName name="_xlnm._FilterDatabase" localSheetId="5" hidden="1">'Notas a los EEFF'!$B$207:$D$248</definedName>
    <definedName name="_Hlk47006462" localSheetId="1">'Balance General'!#REF!</definedName>
    <definedName name="_xlnm.Print_Area" localSheetId="5">'Notas a los EEFF'!$A$1:$B$39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5" i="7" l="1"/>
  <c r="D53" i="4" s="1"/>
  <c r="F444" i="7"/>
  <c r="D182" i="7" l="1"/>
  <c r="D183" i="7"/>
  <c r="C182" i="7"/>
  <c r="H63" i="7" l="1"/>
  <c r="I63" i="7" s="1"/>
  <c r="E63" i="7"/>
  <c r="F63" i="7" s="1"/>
  <c r="D39" i="5"/>
  <c r="D489" i="7"/>
  <c r="D19" i="4" s="1"/>
  <c r="D495" i="7"/>
  <c r="D22" i="4" s="1"/>
  <c r="D500" i="7"/>
  <c r="D23" i="4" s="1"/>
  <c r="D35" i="3" l="1"/>
  <c r="C183" i="7" l="1"/>
  <c r="C489" i="7"/>
  <c r="C19" i="4" s="1"/>
  <c r="C495" i="7"/>
  <c r="C22" i="4" s="1"/>
  <c r="C500" i="7"/>
  <c r="C23" i="4" s="1"/>
  <c r="D50" i="4"/>
  <c r="C11" i="15" l="1"/>
  <c r="E117" i="7" l="1"/>
  <c r="G109" i="7"/>
  <c r="K861" i="7"/>
  <c r="K860" i="7"/>
  <c r="K859" i="7"/>
  <c r="K858" i="7"/>
  <c r="K857" i="7"/>
  <c r="K856" i="7"/>
  <c r="K855" i="7"/>
  <c r="K854" i="7"/>
  <c r="K853" i="7"/>
  <c r="K852" i="7"/>
  <c r="K851" i="7"/>
  <c r="K850" i="7"/>
  <c r="K849" i="7"/>
  <c r="K848" i="7"/>
  <c r="K847" i="7"/>
  <c r="K846" i="7"/>
  <c r="K845" i="7"/>
  <c r="K844" i="7"/>
  <c r="K843" i="7"/>
  <c r="K842" i="7"/>
  <c r="K841" i="7"/>
  <c r="K840" i="7"/>
  <c r="K839" i="7"/>
  <c r="K838" i="7"/>
  <c r="K837" i="7"/>
  <c r="K836" i="7"/>
  <c r="K835" i="7"/>
  <c r="K834" i="7"/>
  <c r="K833" i="7"/>
  <c r="K832" i="7"/>
  <c r="K831" i="7"/>
  <c r="K830" i="7"/>
  <c r="K829" i="7"/>
  <c r="K828" i="7"/>
  <c r="K827" i="7"/>
  <c r="K826" i="7"/>
  <c r="K825" i="7"/>
  <c r="K824" i="7"/>
  <c r="K823" i="7"/>
  <c r="K822" i="7"/>
  <c r="K821" i="7"/>
  <c r="K820" i="7"/>
  <c r="K819" i="7"/>
  <c r="K818" i="7"/>
  <c r="K817" i="7"/>
  <c r="K816" i="7"/>
  <c r="K815" i="7"/>
  <c r="K814" i="7"/>
  <c r="K813" i="7"/>
  <c r="K812" i="7"/>
  <c r="K811" i="7"/>
  <c r="K810" i="7"/>
  <c r="K809" i="7"/>
  <c r="K808" i="7"/>
  <c r="K807" i="7"/>
  <c r="K806" i="7"/>
  <c r="K805" i="7"/>
  <c r="K804" i="7"/>
  <c r="K803" i="7"/>
  <c r="K802" i="7"/>
  <c r="K801" i="7"/>
  <c r="K800" i="7"/>
  <c r="K799" i="7"/>
  <c r="K798" i="7"/>
  <c r="K797" i="7"/>
  <c r="K796" i="7"/>
  <c r="K795" i="7"/>
  <c r="K794" i="7"/>
  <c r="K793" i="7"/>
  <c r="K792" i="7"/>
  <c r="K791" i="7"/>
  <c r="K790" i="7"/>
  <c r="K789" i="7"/>
  <c r="K788" i="7"/>
  <c r="K787" i="7"/>
  <c r="K786" i="7"/>
  <c r="K785" i="7"/>
  <c r="K784" i="7"/>
  <c r="K783" i="7"/>
  <c r="K782" i="7"/>
  <c r="K781" i="7"/>
  <c r="K780" i="7"/>
  <c r="K779" i="7"/>
  <c r="K778" i="7"/>
  <c r="K777" i="7"/>
  <c r="K776" i="7"/>
  <c r="K775" i="7"/>
  <c r="K774" i="7"/>
  <c r="K773" i="7"/>
  <c r="K772" i="7"/>
  <c r="K771" i="7"/>
  <c r="K770" i="7"/>
  <c r="K769" i="7"/>
  <c r="K768" i="7"/>
  <c r="K767" i="7"/>
  <c r="K766" i="7"/>
  <c r="K765" i="7"/>
  <c r="K764" i="7"/>
  <c r="K763" i="7"/>
  <c r="K762" i="7"/>
  <c r="K761" i="7"/>
  <c r="K760" i="7"/>
  <c r="K759" i="7"/>
  <c r="K758" i="7"/>
  <c r="K757" i="7"/>
  <c r="K756" i="7"/>
  <c r="K755" i="7"/>
  <c r="K754" i="7"/>
  <c r="K753" i="7"/>
  <c r="K752" i="7"/>
  <c r="K751" i="7"/>
  <c r="K750" i="7"/>
  <c r="K749" i="7"/>
  <c r="K748" i="7"/>
  <c r="K747" i="7"/>
  <c r="K746" i="7"/>
  <c r="K745" i="7"/>
  <c r="K744" i="7"/>
  <c r="K743" i="7"/>
  <c r="K742" i="7"/>
  <c r="B881" i="7"/>
  <c r="H878" i="7"/>
  <c r="G877" i="7"/>
  <c r="J877" i="7" s="1"/>
  <c r="K877" i="7" s="1"/>
  <c r="G876" i="7"/>
  <c r="J876" i="7" s="1"/>
  <c r="K876" i="7" s="1"/>
  <c r="G875" i="7"/>
  <c r="J875" i="7" s="1"/>
  <c r="K875" i="7" s="1"/>
  <c r="G874" i="7"/>
  <c r="J874" i="7" s="1"/>
  <c r="K874" i="7" s="1"/>
  <c r="G873" i="7"/>
  <c r="J873" i="7" s="1"/>
  <c r="K873" i="7" s="1"/>
  <c r="G872" i="7"/>
  <c r="J872" i="7" s="1"/>
  <c r="K872" i="7" s="1"/>
  <c r="G871" i="7"/>
  <c r="J871" i="7" s="1"/>
  <c r="K871" i="7" s="1"/>
  <c r="G870" i="7"/>
  <c r="J870" i="7" s="1"/>
  <c r="K870" i="7" s="1"/>
  <c r="G869" i="7"/>
  <c r="J869" i="7" s="1"/>
  <c r="K869" i="7" s="1"/>
  <c r="G868" i="7"/>
  <c r="J868" i="7" s="1"/>
  <c r="K868" i="7" s="1"/>
  <c r="G867" i="7"/>
  <c r="J867" i="7" s="1"/>
  <c r="K867" i="7" s="1"/>
  <c r="G866" i="7"/>
  <c r="J866" i="7" s="1"/>
  <c r="K866" i="7" s="1"/>
  <c r="G865" i="7"/>
  <c r="J865" i="7" s="1"/>
  <c r="K865" i="7" s="1"/>
  <c r="G864" i="7"/>
  <c r="J864" i="7" s="1"/>
  <c r="K864" i="7" s="1"/>
  <c r="G863" i="7"/>
  <c r="J863" i="7" s="1"/>
  <c r="K863" i="7" s="1"/>
  <c r="G862" i="7"/>
  <c r="J862" i="7" s="1"/>
  <c r="K862" i="7" s="1"/>
  <c r="K878" i="7" l="1"/>
  <c r="J878" i="7"/>
  <c r="G878" i="7"/>
  <c r="B882" i="7" s="1"/>
  <c r="B883" i="7" l="1"/>
  <c r="C881" i="7" s="1"/>
  <c r="C882" i="7" l="1"/>
  <c r="D737" i="7"/>
  <c r="D738" i="7" s="1"/>
  <c r="D14" i="15" l="1"/>
  <c r="M14" i="15" s="1"/>
  <c r="D467" i="7" l="1"/>
  <c r="E464" i="7"/>
  <c r="L262" i="7"/>
  <c r="D41" i="3" s="1"/>
  <c r="C261" i="7" l="1"/>
  <c r="H261" i="7"/>
  <c r="G262" i="7"/>
  <c r="F283" i="7"/>
  <c r="G47" i="3"/>
  <c r="G51" i="3"/>
  <c r="E282" i="7" l="1"/>
  <c r="D282" i="7"/>
  <c r="C282" i="7"/>
  <c r="C18" i="15" l="1"/>
  <c r="F67" i="3"/>
  <c r="F64" i="3"/>
  <c r="C597" i="7" l="1"/>
  <c r="D597" i="7"/>
  <c r="C605" i="7"/>
  <c r="C53" i="4" s="1"/>
  <c r="C617" i="7"/>
  <c r="D617" i="7"/>
  <c r="C624" i="7"/>
  <c r="C49" i="4" s="1"/>
  <c r="D624" i="7"/>
  <c r="D49" i="4" s="1"/>
  <c r="C456" i="7"/>
  <c r="D456" i="7"/>
  <c r="C461" i="7"/>
  <c r="D461" i="7"/>
  <c r="C462" i="7"/>
  <c r="C463" i="7"/>
  <c r="D463" i="7"/>
  <c r="C464" i="7"/>
  <c r="C466" i="7"/>
  <c r="E466" i="7"/>
  <c r="C467" i="7"/>
  <c r="E467" i="7" s="1"/>
  <c r="C478" i="7"/>
  <c r="D478" i="7"/>
  <c r="C519" i="7"/>
  <c r="C26" i="4" s="1"/>
  <c r="D519" i="7"/>
  <c r="D26" i="4" s="1"/>
  <c r="C534" i="7"/>
  <c r="C27" i="4" s="1"/>
  <c r="D534" i="7"/>
  <c r="D27" i="4" s="1"/>
  <c r="C551" i="7"/>
  <c r="C32" i="4" s="1"/>
  <c r="D551" i="7"/>
  <c r="D32" i="4" s="1"/>
  <c r="D29" i="4" s="1"/>
  <c r="C578" i="7"/>
  <c r="C39" i="4" s="1"/>
  <c r="D578" i="7"/>
  <c r="C378" i="7"/>
  <c r="D378" i="7"/>
  <c r="C386" i="7"/>
  <c r="D386" i="7"/>
  <c r="C400" i="7"/>
  <c r="D400" i="7"/>
  <c r="C414" i="7"/>
  <c r="D414" i="7"/>
  <c r="E430" i="7"/>
  <c r="F430" i="7"/>
  <c r="E440" i="7"/>
  <c r="F440" i="7"/>
  <c r="E448" i="7"/>
  <c r="F448" i="7"/>
  <c r="F281" i="7"/>
  <c r="C302" i="7"/>
  <c r="D302" i="7"/>
  <c r="C309" i="7"/>
  <c r="D309" i="7"/>
  <c r="C317" i="7"/>
  <c r="D317" i="7"/>
  <c r="C323" i="7"/>
  <c r="D323" i="7"/>
  <c r="C333" i="7"/>
  <c r="D333" i="7"/>
  <c r="C364" i="7"/>
  <c r="D364" i="7"/>
  <c r="C369" i="7"/>
  <c r="D369" i="7"/>
  <c r="C100" i="7"/>
  <c r="D100" i="7"/>
  <c r="F111" i="7"/>
  <c r="C196" i="7"/>
  <c r="D196" i="7"/>
  <c r="C203" i="7"/>
  <c r="D203" i="7"/>
  <c r="D248" i="7"/>
  <c r="C248" i="7"/>
  <c r="G258" i="7"/>
  <c r="L258" i="7"/>
  <c r="G259" i="7"/>
  <c r="L259" i="7"/>
  <c r="E260" i="7"/>
  <c r="G260" i="7" s="1"/>
  <c r="J260" i="7"/>
  <c r="J261" i="7" s="1"/>
  <c r="F261" i="7"/>
  <c r="I261" i="7"/>
  <c r="K261" i="7"/>
  <c r="C271" i="7"/>
  <c r="D271" i="7"/>
  <c r="E61" i="7"/>
  <c r="F61" i="7" s="1"/>
  <c r="H61" i="7"/>
  <c r="I61" i="7" s="1"/>
  <c r="E62" i="7"/>
  <c r="F62" i="7" s="1"/>
  <c r="H62" i="7"/>
  <c r="I62" i="7" s="1"/>
  <c r="E64" i="7"/>
  <c r="F64" i="7" s="1"/>
  <c r="H64" i="7"/>
  <c r="I64" i="7" s="1"/>
  <c r="E66" i="7"/>
  <c r="F66" i="7" s="1"/>
  <c r="H66" i="7"/>
  <c r="I66" i="7" s="1"/>
  <c r="C72" i="7"/>
  <c r="E72" i="7"/>
  <c r="C73" i="7"/>
  <c r="E73" i="7"/>
  <c r="D504" i="7" l="1"/>
  <c r="D20" i="4"/>
  <c r="D39" i="4"/>
  <c r="C24" i="4"/>
  <c r="C504" i="7"/>
  <c r="C20" i="4"/>
  <c r="C8" i="4" s="1"/>
  <c r="C28" i="4" s="1"/>
  <c r="F282" i="7"/>
  <c r="G261" i="7"/>
  <c r="F463" i="7"/>
  <c r="F467" i="7"/>
  <c r="F466" i="7"/>
  <c r="M258" i="7"/>
  <c r="F462" i="7"/>
  <c r="F464" i="7"/>
  <c r="L260" i="7"/>
  <c r="M260" i="7" s="1"/>
  <c r="F461" i="7"/>
  <c r="D261" i="7"/>
  <c r="M259" i="7"/>
  <c r="E261" i="7"/>
  <c r="C11" i="5" l="1"/>
  <c r="C40" i="3"/>
  <c r="L261" i="7"/>
  <c r="C41" i="3" s="1"/>
  <c r="M261" i="7" l="1"/>
  <c r="M262" i="7" l="1"/>
  <c r="C38" i="5" l="1"/>
  <c r="C12" i="5"/>
  <c r="G64" i="3" l="1"/>
  <c r="C16" i="3" l="1"/>
  <c r="C17" i="3"/>
  <c r="C29" i="5" s="1"/>
  <c r="G67" i="3" l="1"/>
  <c r="C24" i="5" l="1"/>
  <c r="C40" i="5" l="1"/>
  <c r="G62" i="3" l="1"/>
  <c r="D62" i="3"/>
  <c r="C25" i="5" l="1"/>
  <c r="F47" i="3" l="1"/>
  <c r="D465" i="7" s="1"/>
  <c r="F51" i="3"/>
  <c r="F55" i="3" l="1"/>
  <c r="C50" i="4"/>
  <c r="C62" i="3" l="1"/>
  <c r="C35" i="3" l="1"/>
  <c r="E13" i="15" l="1"/>
  <c r="C47" i="4" l="1"/>
  <c r="C34" i="5" l="1"/>
  <c r="C30" i="5"/>
  <c r="C28" i="5"/>
  <c r="C21" i="5"/>
  <c r="I11" i="15" l="1"/>
  <c r="D11" i="15"/>
  <c r="D33" i="4" l="1"/>
  <c r="C20" i="3" l="1"/>
  <c r="D20" i="3"/>
  <c r="C465" i="7" l="1"/>
  <c r="G55" i="3"/>
  <c r="D468" i="7" l="1"/>
  <c r="E468" i="7"/>
  <c r="F465" i="7"/>
  <c r="C468" i="7"/>
  <c r="G26" i="3"/>
  <c r="F26" i="3"/>
  <c r="F468" i="7" l="1"/>
  <c r="M18" i="15"/>
  <c r="H21" i="15"/>
  <c r="K17" i="15"/>
  <c r="M17" i="15" s="1"/>
  <c r="E11" i="15"/>
  <c r="G27" i="3"/>
  <c r="F62" i="3"/>
  <c r="F35" i="3"/>
  <c r="G35" i="3"/>
  <c r="G14" i="3"/>
  <c r="F14" i="3"/>
  <c r="F27" i="3" l="1"/>
  <c r="D47" i="3" l="1"/>
  <c r="C47" i="3"/>
  <c r="D44" i="3" l="1"/>
  <c r="C44" i="3"/>
  <c r="D40" i="3"/>
  <c r="C27" i="5" s="1"/>
  <c r="D21" i="3"/>
  <c r="F25" i="3" l="1"/>
  <c r="F13" i="15"/>
  <c r="F11" i="15"/>
  <c r="I15" i="15"/>
  <c r="I20" i="15" s="1"/>
  <c r="F33" i="3"/>
  <c r="F32" i="3" s="1"/>
  <c r="F37" i="3" s="1"/>
  <c r="G32" i="3"/>
  <c r="G37" i="3" s="1"/>
  <c r="D13" i="3"/>
  <c r="D8" i="4"/>
  <c r="C29" i="4"/>
  <c r="K11" i="15"/>
  <c r="K21" i="15" s="1"/>
  <c r="L19" i="15"/>
  <c r="M19" i="15" s="1"/>
  <c r="G15" i="15"/>
  <c r="L11" i="15"/>
  <c r="K16" i="15" s="1"/>
  <c r="J11" i="15"/>
  <c r="J20" i="15" s="1"/>
  <c r="G11" i="15"/>
  <c r="G13" i="3"/>
  <c r="C21" i="3"/>
  <c r="D25" i="3"/>
  <c r="D22" i="3"/>
  <c r="C20" i="15"/>
  <c r="D32" i="5"/>
  <c r="E21" i="15"/>
  <c r="E20" i="15"/>
  <c r="C21" i="15"/>
  <c r="M21" i="15"/>
  <c r="D21" i="15"/>
  <c r="F20" i="3"/>
  <c r="C33" i="4"/>
  <c r="D24" i="4"/>
  <c r="C42" i="4"/>
  <c r="C32" i="3"/>
  <c r="C15" i="3"/>
  <c r="C22" i="3"/>
  <c r="C37" i="5"/>
  <c r="C46" i="4"/>
  <c r="D46" i="4"/>
  <c r="D42" i="4"/>
  <c r="F12" i="3"/>
  <c r="G12" i="3"/>
  <c r="F18" i="3"/>
  <c r="G18" i="3"/>
  <c r="F17" i="3"/>
  <c r="G17" i="3"/>
  <c r="G25" i="3"/>
  <c r="G20" i="3"/>
  <c r="D46" i="3"/>
  <c r="D32" i="3"/>
  <c r="C46" i="3"/>
  <c r="H20" i="15"/>
  <c r="D15" i="3"/>
  <c r="D28" i="4" l="1"/>
  <c r="C35" i="5"/>
  <c r="C39" i="5" s="1"/>
  <c r="C13" i="5"/>
  <c r="M15" i="15"/>
  <c r="D19" i="3"/>
  <c r="L16" i="15"/>
  <c r="M16" i="15" s="1"/>
  <c r="C13" i="3"/>
  <c r="C11" i="3" s="1"/>
  <c r="D11" i="3"/>
  <c r="C42" i="5" s="1"/>
  <c r="C19" i="3"/>
  <c r="G11" i="3"/>
  <c r="D24" i="3"/>
  <c r="D20" i="15"/>
  <c r="M13" i="15"/>
  <c r="D55" i="3"/>
  <c r="G16" i="3"/>
  <c r="F13" i="3"/>
  <c r="L21" i="15"/>
  <c r="K20" i="15"/>
  <c r="F16" i="3"/>
  <c r="C25" i="3"/>
  <c r="F20" i="15"/>
  <c r="J21" i="15"/>
  <c r="G20" i="15"/>
  <c r="F21" i="15"/>
  <c r="G21" i="15"/>
  <c r="N11" i="15"/>
  <c r="D40" i="4" l="1"/>
  <c r="D51" i="4" s="1"/>
  <c r="D54" i="4" s="1"/>
  <c r="C31" i="5"/>
  <c r="F11" i="3"/>
  <c r="F29" i="3" s="1"/>
  <c r="D29" i="3"/>
  <c r="D56" i="3" s="1"/>
  <c r="N21" i="15"/>
  <c r="G29" i="3"/>
  <c r="G40" i="3" s="1"/>
  <c r="G56" i="3" s="1"/>
  <c r="C24" i="3"/>
  <c r="C17" i="5" s="1"/>
  <c r="C29" i="3"/>
  <c r="L20" i="15"/>
  <c r="M20" i="15" s="1"/>
  <c r="C32" i="5" l="1"/>
  <c r="C40" i="4"/>
  <c r="C51" i="4" s="1"/>
  <c r="C54" i="4" s="1"/>
  <c r="C14" i="5"/>
  <c r="C22" i="5" s="1"/>
  <c r="C55" i="3"/>
  <c r="C56" i="3" s="1"/>
  <c r="C41" i="5" l="1"/>
  <c r="F40" i="3"/>
  <c r="D14" i="5"/>
  <c r="D22" i="5" s="1"/>
  <c r="D41" i="5" l="1"/>
  <c r="D43" i="5" s="1"/>
  <c r="F56" i="3"/>
  <c r="C43" i="5" l="1"/>
</calcChain>
</file>

<file path=xl/sharedStrings.xml><?xml version="1.0" encoding="utf-8"?>
<sst xmlns="http://schemas.openxmlformats.org/spreadsheetml/2006/main" count="1279" uniqueCount="838">
  <si>
    <t>Cantidad</t>
  </si>
  <si>
    <t>Activo</t>
  </si>
  <si>
    <t>PERIODO    ACTUAL</t>
  </si>
  <si>
    <t>PASIVO</t>
  </si>
  <si>
    <t>Activo Corriente</t>
  </si>
  <si>
    <t xml:space="preserve">Caja                                                                                              </t>
  </si>
  <si>
    <t>Bancos</t>
  </si>
  <si>
    <t>Títulos de Renta Variable</t>
  </si>
  <si>
    <t>Títulos de Renta Fija</t>
  </si>
  <si>
    <t>Documentos y Cuentas a Pagar</t>
  </si>
  <si>
    <t>Préstamos Financieros (Nota 5. k)</t>
  </si>
  <si>
    <t>Intereses a pagar</t>
  </si>
  <si>
    <t>Créditos (Nota 5. f)</t>
  </si>
  <si>
    <t xml:space="preserve">Deudores por Intermediación </t>
  </si>
  <si>
    <t xml:space="preserve">Documentos y cuentas por cobrar  </t>
  </si>
  <si>
    <t>Deudores Varios</t>
  </si>
  <si>
    <t xml:space="preserve">Provisiones (Nota 5. q) </t>
  </si>
  <si>
    <t>Impuestos a pagar</t>
  </si>
  <si>
    <t>Aportes y Retenciones a pagar</t>
  </si>
  <si>
    <t>Anticipo de clientes</t>
  </si>
  <si>
    <t xml:space="preserve">Otros Activos Corrientes </t>
  </si>
  <si>
    <t>Otros Pasivos (Nota 5. q)</t>
  </si>
  <si>
    <t xml:space="preserve">Dividendos a pagar </t>
  </si>
  <si>
    <t xml:space="preserve">Otros Pasivos Corrientes </t>
  </si>
  <si>
    <t>TOTAL ACTIVO CORRIENTE</t>
  </si>
  <si>
    <t>TOTAL PASIVO CORRIENTE</t>
  </si>
  <si>
    <t>ACTIVO NO CORRIENTE</t>
  </si>
  <si>
    <t>Menos: Previsión para Inversiones</t>
  </si>
  <si>
    <t>TOTAL PASIVO NO CORRIENTE</t>
  </si>
  <si>
    <t>(Depreciación acumulada)</t>
  </si>
  <si>
    <t>TOTAL PASIVO</t>
  </si>
  <si>
    <t xml:space="preserve">PATRIMONIO NETO </t>
  </si>
  <si>
    <t>Programas</t>
  </si>
  <si>
    <t>TOTAL ACTIVO NO CORRIENTE</t>
  </si>
  <si>
    <t>Capital Integrado</t>
  </si>
  <si>
    <t xml:space="preserve">Reservas Facultativas </t>
  </si>
  <si>
    <t>TOTAL PASIVO Y PATRIMONIO NETO</t>
  </si>
  <si>
    <r>
      <t>Disponibilidades</t>
    </r>
    <r>
      <rPr>
        <sz val="9"/>
        <color indexed="8"/>
        <rFont val="Arial"/>
        <family val="2"/>
      </rPr>
      <t xml:space="preserve"> (</t>
    </r>
    <r>
      <rPr>
        <b/>
        <sz val="9"/>
        <color indexed="8"/>
        <rFont val="Arial"/>
        <family val="2"/>
      </rPr>
      <t>Nota 5.d)</t>
    </r>
  </si>
  <si>
    <t xml:space="preserve">TOTAL ACTIVO  </t>
  </si>
  <si>
    <t>ELERCICIO ANTERIOR</t>
  </si>
  <si>
    <t>PERIODO ACTUAL</t>
  </si>
  <si>
    <t>IGUAL PERIODO DEL AÑO ANTERIOR</t>
  </si>
  <si>
    <t>INGRESOS OPERATIVOS</t>
  </si>
  <si>
    <t xml:space="preserve">. Comisiones por contratos de colocación primaria </t>
  </si>
  <si>
    <t xml:space="preserve">Comisiones por contratos de colocación primaria de acciones </t>
  </si>
  <si>
    <t>Comisiones por contratos de colocación primaria de renta fija</t>
  </si>
  <si>
    <t>. Comisiones por contratos de colocación secundaria</t>
  </si>
  <si>
    <t>Comisiones por contratos de colocación secundaria de acciones</t>
  </si>
  <si>
    <t>Comisiones por contratos de colocación secundaria de renta fija</t>
  </si>
  <si>
    <t>. Ingresos por asesoría financiera</t>
  </si>
  <si>
    <t>. Otros ingresos operativos (Nota 5. v)</t>
  </si>
  <si>
    <t>GASTOS OPERATIVOS</t>
  </si>
  <si>
    <t>Gastos por comisiones y servicios</t>
  </si>
  <si>
    <t>Aranceles por negociación Bolsa de Valores (Nota 5. w)</t>
  </si>
  <si>
    <t>Otros gastos operativos (Nota 5. w)</t>
  </si>
  <si>
    <t>RESULTADO OPERATIVO BRUTO</t>
  </si>
  <si>
    <t>GASTOS DE COMERCIALIZACION</t>
  </si>
  <si>
    <t>Publicidad</t>
  </si>
  <si>
    <t>Folletos e Impresiones</t>
  </si>
  <si>
    <t>Otros gastos de comercialización (Nota 5. w)</t>
  </si>
  <si>
    <t>GASTOS DE ADMINISTRACION</t>
  </si>
  <si>
    <t>Servicios personales</t>
  </si>
  <si>
    <t>Previsión, amortización y depreciaciones</t>
  </si>
  <si>
    <t>Mantenimientos</t>
  </si>
  <si>
    <t>Seguros</t>
  </si>
  <si>
    <t>Impuestos, tasas y contribuciones</t>
  </si>
  <si>
    <t>Otros gastos de administración (Nota 5. w)</t>
  </si>
  <si>
    <t>RESULTADO OPERATIVO NETO</t>
  </si>
  <si>
    <t>Otros Ingresos y Egresos (Nota 5. x)</t>
  </si>
  <si>
    <t>Otros Ingresos</t>
  </si>
  <si>
    <t>Otros Egresos</t>
  </si>
  <si>
    <t>RESULTADOS FINANCIEROS</t>
  </si>
  <si>
    <t>Generados por activos:</t>
  </si>
  <si>
    <t>Intereses cobrados (Nota 5. y)</t>
  </si>
  <si>
    <t>Diferencia de cambio</t>
  </si>
  <si>
    <t>Generados por pasivos:</t>
  </si>
  <si>
    <t>Intereses pagados (Nota 5. y)</t>
  </si>
  <si>
    <t>UTILIDAD O (PERDIDA)</t>
  </si>
  <si>
    <t>IMPUESTO A LA RENTA</t>
  </si>
  <si>
    <t>RESERVA LEGAL</t>
  </si>
  <si>
    <t>RESULTADO DEL EJERCICIO</t>
  </si>
  <si>
    <t>ESTADO DE FLUJO DE EFECTIVO</t>
  </si>
  <si>
    <t xml:space="preserve"> (En guaraníes)</t>
  </si>
  <si>
    <t>FLUJO DE EFECTIVO POR LAS ACTIVIDADES OPERATIVAS</t>
  </si>
  <si>
    <t>Ingresos en efectivo por comisiones y otros</t>
  </si>
  <si>
    <t>Efectivo pagado a empleados</t>
  </si>
  <si>
    <t>Efectivo generado (usado) por otras actividades</t>
  </si>
  <si>
    <t>Total de Efectivo por las actividades operativas antes de cambio en los activos de operaciones</t>
  </si>
  <si>
    <t>(Aumento) disminución en los activos de operación</t>
  </si>
  <si>
    <t>Otros activos</t>
  </si>
  <si>
    <t>Aumento (o Disminución) en pasivos operativos</t>
  </si>
  <si>
    <t>Pagos a proveedores</t>
  </si>
  <si>
    <t>Efectivo neto de actividades de operaciones antes del impuesto</t>
  </si>
  <si>
    <t>Efectivo neto de actividades de operación</t>
  </si>
  <si>
    <t>FLUJO DE EFECTIVO POR LAS ACTIVIDADES DE INVERSION</t>
  </si>
  <si>
    <t>Inversiones en otras empresas</t>
  </si>
  <si>
    <t>Inversiones temporarias</t>
  </si>
  <si>
    <t>Fondos con destino especial</t>
  </si>
  <si>
    <t>Adquisición y títulos de deudas (cartera propia)</t>
  </si>
  <si>
    <t>Dividendos percibidos</t>
  </si>
  <si>
    <t>Anticipos de clientes</t>
  </si>
  <si>
    <t>Efectivo neto por (o usado) en actividades de inversión</t>
  </si>
  <si>
    <t>FLUJO DE EFECTIVO POR LAS ACTIVIDADES DE FINANCIAMIENTO</t>
  </si>
  <si>
    <t>Aportes de capital</t>
  </si>
  <si>
    <t>Provenientes de préstamos y otras deudas</t>
  </si>
  <si>
    <t>Dividendos pagados</t>
  </si>
  <si>
    <t>Intereses pagados</t>
  </si>
  <si>
    <t>Efectivo neto en actividades de financiamiento</t>
  </si>
  <si>
    <t>Aumento (o Disminución) neto de efectivo y sus equivalentes</t>
  </si>
  <si>
    <t>Efectivo y su equivalente al comienzo del período</t>
  </si>
  <si>
    <t>Efectivo y su equivalente al cierre del período</t>
  </si>
  <si>
    <t>ESTADO DE VARIACION DEL PATRIMONIO NETO</t>
  </si>
  <si>
    <t>(En guaraníes)</t>
  </si>
  <si>
    <t>Movimientos</t>
  </si>
  <si>
    <t>CAPITAL</t>
  </si>
  <si>
    <t>RESERVAS</t>
  </si>
  <si>
    <t>RESULTADOS</t>
  </si>
  <si>
    <t>PATRIMONIO NETO</t>
  </si>
  <si>
    <t>A Integrar</t>
  </si>
  <si>
    <t>Prima</t>
  </si>
  <si>
    <t>Integrado</t>
  </si>
  <si>
    <t>Legal</t>
  </si>
  <si>
    <t>Revalúo</t>
  </si>
  <si>
    <t>Aumento de Capital</t>
  </si>
  <si>
    <t>Acumulados</t>
  </si>
  <si>
    <t>Del Ejercicio</t>
  </si>
  <si>
    <t>Período</t>
  </si>
  <si>
    <t>Actual</t>
  </si>
  <si>
    <t>Período anterior</t>
  </si>
  <si>
    <t>-</t>
  </si>
  <si>
    <t>Movimientos subsecuentes</t>
  </si>
  <si>
    <t>Reserva Legal</t>
  </si>
  <si>
    <t>NOTAS A LOS ESTADOS CONTABLES</t>
  </si>
  <si>
    <t xml:space="preserve">1) </t>
  </si>
  <si>
    <t xml:space="preserve">2) </t>
  </si>
  <si>
    <t>2.1. Naturaleza jurídica de las actividades de la sociedad.</t>
  </si>
  <si>
    <t>La duración de la Sociedad queda fijada en (99) noventa y nueve años, contados a partir de la fecha de inscripción de la misma en el Registro Público de Comercio.</t>
  </si>
  <si>
    <t xml:space="preserve">La Sociedad tiene por objeto principal la intermediación en el Mercado de Valores, en forma habitual, y por cuenta ajena. Mediante la realización de operaciones de compra –venta, colocación, corretaje, comisión o negociación de títulos –valores emitidos por terceros, respecto de los cuales se hagan oferta pública, y podrá realizar en general, todas aquellas actividades complementarias, conexas o afines con la intermediación de valores y debidamente inscriptos en el Registro de Intermediarios. </t>
  </si>
  <si>
    <t>2.2. Participación en otras empresas.</t>
  </si>
  <si>
    <t>3)</t>
  </si>
  <si>
    <t>El criterio adoptado para las depreciaciones es el método lineal de acuerdo a los años de vida útil del bien.</t>
  </si>
  <si>
    <t>3.5.             Estado de Flujo de Efectivo: La clasificación de flujo de efectivo se ha realizado de acuerdo a las actividades operativas, de inversión y de financiamiento, y reflejan los ingresos y egresos de las principales actividades operativas, actividades de adquisición y enajenación de activos a largo plazo (actividades de inversión) y actividades que dan por resultado cambios en el tamaño y composición el capital contable y los préstamos de la empresa (actividad de financiamiento).</t>
  </si>
  <si>
    <t>3.6.             Normas aplicadas para la consolidación de Estados Contables: No Aplicable.</t>
  </si>
  <si>
    <t>4)</t>
  </si>
  <si>
    <t>a)  Valuación en moneda extranjera</t>
  </si>
  <si>
    <t>A continuación, se detalla el tipo de cambio utilizado para convertir a moneda nacional los saldos en moneda extranjera.</t>
  </si>
  <si>
    <t xml:space="preserve">Período actual </t>
  </si>
  <si>
    <t>en Gs.</t>
  </si>
  <si>
    <t xml:space="preserve">Período  </t>
  </si>
  <si>
    <t xml:space="preserve"> anterior en Gs.</t>
  </si>
  <si>
    <t>Tipo de cambio comprador</t>
  </si>
  <si>
    <t xml:space="preserve">Tipo de cambio vendedor       </t>
  </si>
  <si>
    <t>b) Posición en moneda extranjera</t>
  </si>
  <si>
    <t>ACTIVOS Y PASIVOS EN MONEDA EXTRANJERA</t>
  </si>
  <si>
    <t>DETALLE</t>
  </si>
  <si>
    <t>MONEDA EXTRANJERA – CLASE</t>
  </si>
  <si>
    <t>MONEDA EXTRANJERA – MONTO</t>
  </si>
  <si>
    <t>CAMBIO CIERRE – PERIODO ACTUAL</t>
  </si>
  <si>
    <t>SALDO – PERIODO ACTUAL (GUARANIES)</t>
  </si>
  <si>
    <t>CAMBIO CIERRE – PERIODO ANTERIOR</t>
  </si>
  <si>
    <t>ACTIVO</t>
  </si>
  <si>
    <t>ACTIVOS CORRIENTES</t>
  </si>
  <si>
    <t>c) Diferencia de cambio en moneda extranjera</t>
  </si>
  <si>
    <t>CONCEPTO</t>
  </si>
  <si>
    <t>TIPO DE CAMBIO PERIODO ACTUAL</t>
  </si>
  <si>
    <t>MONTO AJUSTADO PERIODO ACTUAL G.</t>
  </si>
  <si>
    <t>TIPO DE CAMBIO  PERIODO ANTERIOR</t>
  </si>
  <si>
    <t>MONTO AJUSTADO  PERIODO ANTERIOR G.</t>
  </si>
  <si>
    <t xml:space="preserve">d) Disponibilidades </t>
  </si>
  <si>
    <t>La composición de este rubro está compuesta por:</t>
  </si>
  <si>
    <t xml:space="preserve">Concepto </t>
  </si>
  <si>
    <t>Período Actual Gs.</t>
  </si>
  <si>
    <t xml:space="preserve"> Período Anterior Gs.</t>
  </si>
  <si>
    <t xml:space="preserve"> Totales </t>
  </si>
  <si>
    <t xml:space="preserve">e) Inversiones Permanentes </t>
  </si>
  <si>
    <t>Este rubro está compuesto por las siguientes cuentas:</t>
  </si>
  <si>
    <t>INFORMACIÓN SOBRE EL DOCUMENTO Y EMISOR</t>
  </si>
  <si>
    <t>INFORMACIÓN SOBRE EL EMISOR</t>
  </si>
  <si>
    <t>TIPO</t>
  </si>
  <si>
    <t>CANTIDAD DE TITULOS</t>
  </si>
  <si>
    <t>VALOR NOMINAL UNITARIO</t>
  </si>
  <si>
    <t>VALOR</t>
  </si>
  <si>
    <t>RESULTADO</t>
  </si>
  <si>
    <t>PATRIM.</t>
  </si>
  <si>
    <t>EMISOR</t>
  </si>
  <si>
    <t>DE TITULO</t>
  </si>
  <si>
    <t>CONTABLE</t>
  </si>
  <si>
    <t>NETO</t>
  </si>
  <si>
    <t>Inversiones Permanentes</t>
  </si>
  <si>
    <t>TOTALES PERÍODO ACTUAL G.</t>
  </si>
  <si>
    <t>TOTALES PERíODO ANTERIOR G.</t>
  </si>
  <si>
    <t xml:space="preserve">Acciones BVPASA </t>
  </si>
  <si>
    <t>Valor Nominal</t>
  </si>
  <si>
    <t>Valor Libro de la acción</t>
  </si>
  <si>
    <t>Valor último remate</t>
  </si>
  <si>
    <t>Saldo período actual en Gs.</t>
  </si>
  <si>
    <t>Saldo período anterior en Gs.</t>
  </si>
  <si>
    <t xml:space="preserve">f) Créditos  </t>
  </si>
  <si>
    <t>Período Anterior Gs.</t>
  </si>
  <si>
    <t>Totales</t>
  </si>
  <si>
    <t>g) Bienes de Uso</t>
  </si>
  <si>
    <t>CUENTAS</t>
  </si>
  <si>
    <t>VALORES DE ORIGEN</t>
  </si>
  <si>
    <t>DEPRECIACIONES</t>
  </si>
  <si>
    <t>Valores al  inicio del  ejercicio</t>
  </si>
  <si>
    <t>Altas</t>
  </si>
  <si>
    <t>Bajas</t>
  </si>
  <si>
    <t>Revalúo del período</t>
  </si>
  <si>
    <t>Valores al cierre del período</t>
  </si>
  <si>
    <t>Acumuladas al inicio del ejercicio</t>
  </si>
  <si>
    <t>Deprecia- ción del período</t>
  </si>
  <si>
    <t>Acumuladas al cierre</t>
  </si>
  <si>
    <t>Neto resultante</t>
  </si>
  <si>
    <t>Muebles y útiles</t>
  </si>
  <si>
    <t>Totales período actual</t>
  </si>
  <si>
    <t>Totales  período anterior</t>
  </si>
  <si>
    <t>h) Cargos Diferidos</t>
  </si>
  <si>
    <t>No Aplicable</t>
  </si>
  <si>
    <t>i) Activos Intangibles</t>
  </si>
  <si>
    <t>SALDO</t>
  </si>
  <si>
    <t>INICIAL</t>
  </si>
  <si>
    <t>AUMENTOS</t>
  </si>
  <si>
    <t>AMORTIZACIONES</t>
  </si>
  <si>
    <t>NETO FINAL</t>
  </si>
  <si>
    <t>Total actual</t>
  </si>
  <si>
    <t>Total período anterior</t>
  </si>
  <si>
    <t>j) Otros Activos</t>
  </si>
  <si>
    <t xml:space="preserve">k) Préstamos Financieros (Pasivo Corriente) </t>
  </si>
  <si>
    <t xml:space="preserve">PRESTAMOS </t>
  </si>
  <si>
    <t>Período Actual en Gs.</t>
  </si>
  <si>
    <t>Período anterior en Gs.</t>
  </si>
  <si>
    <t>INTERESES A PAGAR</t>
  </si>
  <si>
    <t>SOBREGIRO BANCARIO</t>
  </si>
  <si>
    <t xml:space="preserve">l) Documentos y Cuentas por pagar (Pasivo Corriente) </t>
  </si>
  <si>
    <t>Período anterior Gs.</t>
  </si>
  <si>
    <t>BVPASA - ( Aranceles )</t>
  </si>
  <si>
    <t>n) Administración de Cartera (corto y largo plazo)</t>
  </si>
  <si>
    <t>p) Obligaciones por contrato de Underwriting (corto y largo plazo)</t>
  </si>
  <si>
    <t>q) Otros Pasivos (Pasivo Corriente)</t>
  </si>
  <si>
    <t>Concepto</t>
  </si>
  <si>
    <t>Provisiones (Pasivo Corriente)</t>
  </si>
  <si>
    <t>r) Saldos y transacciones con personas y empresas relacionadas (Corriente y No Corriente)</t>
  </si>
  <si>
    <t>s) Resultado con personas y empresas vinculadas</t>
  </si>
  <si>
    <t>t) Patrimonio</t>
  </si>
  <si>
    <t>SALDO AL INICIO DEL PERIODO ANTERIOR G.</t>
  </si>
  <si>
    <t>DISMINUCIÓN</t>
  </si>
  <si>
    <t>SALDO AL CIERRE DEL PERIODO G.</t>
  </si>
  <si>
    <t>Prima por Emisión</t>
  </si>
  <si>
    <t>Reservas</t>
  </si>
  <si>
    <t>Resultados Acumulados</t>
  </si>
  <si>
    <t>Resultados del Ejercicio</t>
  </si>
  <si>
    <t>TOTAL</t>
  </si>
  <si>
    <t>u) Previsiones</t>
  </si>
  <si>
    <t xml:space="preserve">v) Ingresos Operativos </t>
  </si>
  <si>
    <t>Ingresos por operaciones y servicios a personas relacionadas</t>
  </si>
  <si>
    <t xml:space="preserve">Otros Ingresos Operativos </t>
  </si>
  <si>
    <t>Período Actual</t>
  </si>
  <si>
    <t xml:space="preserve"> en Gs.</t>
  </si>
  <si>
    <t xml:space="preserve">Igual Período de año </t>
  </si>
  <si>
    <t>anterior en Gs.</t>
  </si>
  <si>
    <t>w) Otros gastos operativos, de comercialización y de administración</t>
  </si>
  <si>
    <t>Aranceles por Negociación Bolsa de Valores</t>
  </si>
  <si>
    <t xml:space="preserve">Período Actual </t>
  </si>
  <si>
    <t xml:space="preserve">      anterior en Gs.</t>
  </si>
  <si>
    <t xml:space="preserve">Gastos Administrativos - BVPASA </t>
  </si>
  <si>
    <t>Aranceles – CNV y SEPRELAD</t>
  </si>
  <si>
    <t xml:space="preserve"> Igual Período de año  </t>
  </si>
  <si>
    <t>Otros Gastos de Comercialización</t>
  </si>
  <si>
    <t>Gastos de movilidad</t>
  </si>
  <si>
    <t xml:space="preserve">Otros Gastos de Administración </t>
  </si>
  <si>
    <t>Aporte patronal</t>
  </si>
  <si>
    <t>Aguinaldos pagados</t>
  </si>
  <si>
    <t>Vacaciones pagadas</t>
  </si>
  <si>
    <t>Honorarios profesionales</t>
  </si>
  <si>
    <t>Alquileres</t>
  </si>
  <si>
    <t>Útiles de oficina</t>
  </si>
  <si>
    <t>Comisiones y gastos bancarios operacionales</t>
  </si>
  <si>
    <t>Multas y recargos</t>
  </si>
  <si>
    <t>Seguridad y vigilancia</t>
  </si>
  <si>
    <t xml:space="preserve">Gastos no deducibles                     </t>
  </si>
  <si>
    <t>Viáticos</t>
  </si>
  <si>
    <t>Otros gastos de administración</t>
  </si>
  <si>
    <t>Comisiones y gastos bancarios sobre operaciones crediticias</t>
  </si>
  <si>
    <t>x) Otros Ingresos y Egresos</t>
  </si>
  <si>
    <t>Igual Período de año anterior en Gs.</t>
  </si>
  <si>
    <t>Totales:</t>
  </si>
  <si>
    <t>y) Resultados Financieros</t>
  </si>
  <si>
    <t xml:space="preserve">z) Resultados Extraordinarios </t>
  </si>
  <si>
    <t>6)</t>
  </si>
  <si>
    <t>Información referente a contingencias y compromisos.</t>
  </si>
  <si>
    <t>a) Compromisos directos</t>
  </si>
  <si>
    <t>b) Contingencias Legales</t>
  </si>
  <si>
    <t>Detalle de la Póliza</t>
  </si>
  <si>
    <t>Hechos posteriores al cierre del ejercicio.</t>
  </si>
  <si>
    <t xml:space="preserve">8) </t>
  </si>
  <si>
    <t>Limitación a la libre disponibilidad de los activos o del patrimonio y cualquier restricción al derecho de propiedad.</t>
  </si>
  <si>
    <t>Cambios Contables.</t>
  </si>
  <si>
    <t>10)</t>
  </si>
  <si>
    <t>Restricciones para distribución de utilidades.</t>
  </si>
  <si>
    <t>11)</t>
  </si>
  <si>
    <t>Sanciones.</t>
  </si>
  <si>
    <t>TOTAL PATRIMONIO NETO</t>
  </si>
  <si>
    <t>Saldo al inicio del ejercicio</t>
  </si>
  <si>
    <t>Resultado del Ejercicio</t>
  </si>
  <si>
    <t>SALDO – PERIODO ANTERIOR  (GUARANIES)</t>
  </si>
  <si>
    <t>MONEDA EXTRANJERA - MONTO</t>
  </si>
  <si>
    <t>Acreedores Varios (Nota 5. l)</t>
  </si>
  <si>
    <t>Fondo de garantía - BVPASA</t>
  </si>
  <si>
    <t>Retenciones IDU</t>
  </si>
  <si>
    <t>Obligac. por Administración de Cartera (5.n)</t>
  </si>
  <si>
    <t>Capacitación al Personal</t>
  </si>
  <si>
    <t>Gtos. De Representación</t>
  </si>
  <si>
    <r>
      <t>Acreedores por Intermediación</t>
    </r>
    <r>
      <rPr>
        <b/>
        <sz val="9"/>
        <rFont val="Arial"/>
        <family val="2"/>
      </rPr>
      <t xml:space="preserve"> (</t>
    </r>
    <r>
      <rPr>
        <sz val="9"/>
        <rFont val="Arial"/>
        <family val="2"/>
      </rPr>
      <t>Nota 5.m)</t>
    </r>
  </si>
  <si>
    <t>Cuentas de Orden Deudoras</t>
  </si>
  <si>
    <t>Cuentas de Orden Acreedoras</t>
  </si>
  <si>
    <t>Total período Actual</t>
  </si>
  <si>
    <t>Total período Anterior</t>
  </si>
  <si>
    <t>Equipos</t>
  </si>
  <si>
    <t>Rodados</t>
  </si>
  <si>
    <t>Compra de propiedades, planta y equipo</t>
  </si>
  <si>
    <t>R. ACCIONES</t>
  </si>
  <si>
    <r>
      <t>Impuestos</t>
    </r>
    <r>
      <rPr>
        <b/>
        <sz val="10"/>
        <color indexed="8"/>
        <rFont val="Calibri"/>
        <family val="2"/>
      </rPr>
      <t xml:space="preserve"> </t>
    </r>
  </si>
  <si>
    <t>No Posee sanciones con la Comision Nacional de Valores u otras entidades fiscalizadoras.</t>
  </si>
  <si>
    <t>La firma cuenta  con la libre disposicion  de su patrimonio.</t>
  </si>
  <si>
    <t>No existen hechos posteriores al cierre del ejercicio que impliquen alteraciones significativas a la estructura patrimonial y resultado del ejercicio.</t>
  </si>
  <si>
    <r>
      <t xml:space="preserve">Diferencia de cambio </t>
    </r>
    <r>
      <rPr>
        <sz val="10"/>
        <color indexed="8"/>
        <rFont val="Calibri"/>
        <family val="2"/>
      </rPr>
      <t>(7)</t>
    </r>
  </si>
  <si>
    <t>PERIODO    ANTERIOR</t>
  </si>
  <si>
    <t>Anticipo Impuesto a la Renta</t>
  </si>
  <si>
    <t>Retenciones de IVA</t>
  </si>
  <si>
    <t>IVA Credito Fiscal - 10%</t>
  </si>
  <si>
    <t>Reserva de Revaluo Fiscal</t>
  </si>
  <si>
    <t xml:space="preserve">Resultado del Ejercicio </t>
  </si>
  <si>
    <t xml:space="preserve">7) </t>
  </si>
  <si>
    <t>9)</t>
  </si>
  <si>
    <t>Venta de CDA</t>
  </si>
  <si>
    <t>Agua, Luz y Telefono</t>
  </si>
  <si>
    <t>Intereses Pagados</t>
  </si>
  <si>
    <t>facultativa</t>
  </si>
  <si>
    <t>USD</t>
  </si>
  <si>
    <t>BOLSA DE VALORES Y PRODUCTOS DE ASUNCION S.A.</t>
  </si>
  <si>
    <t>ACCION</t>
  </si>
  <si>
    <t xml:space="preserve">  CONCEPTO</t>
  </si>
  <si>
    <t xml:space="preserve"> CONCEPTO</t>
  </si>
  <si>
    <t xml:space="preserve"> </t>
  </si>
  <si>
    <t>Anticipo a Proveedores</t>
  </si>
  <si>
    <t xml:space="preserve">Reservas  </t>
  </si>
  <si>
    <t>Aporte p/ futuras Capitalizaciones</t>
  </si>
  <si>
    <t>PASIVOS CORRIENTES</t>
  </si>
  <si>
    <t>Las 11 notas y sus anexos aclaratorios que se acompañan son parte integrante de estos estados financieros.</t>
  </si>
  <si>
    <t>s/ Movimiento</t>
  </si>
  <si>
    <r>
      <t>b-</t>
    </r>
    <r>
      <rPr>
        <b/>
        <sz val="7"/>
        <rFont val="Times New Roman"/>
        <family val="1"/>
      </rPr>
      <t xml:space="preserve">      </t>
    </r>
    <r>
      <rPr>
        <b/>
        <sz val="11"/>
        <rFont val="Calibri"/>
        <family val="2"/>
      </rPr>
      <t>Otros Egresos:</t>
    </r>
  </si>
  <si>
    <t>No posee</t>
  </si>
  <si>
    <t>Presidente</t>
  </si>
  <si>
    <r>
      <t xml:space="preserve">c) Garantías constituidas: </t>
    </r>
    <r>
      <rPr>
        <sz val="10"/>
        <color indexed="8"/>
        <rFont val="Arial Nova"/>
        <family val="2"/>
      </rPr>
      <t>Póliza de Caución / Garantía de Desempeño Profesional</t>
    </r>
  </si>
  <si>
    <t>a-      Otros Ingresos:</t>
  </si>
  <si>
    <r>
      <t>a-</t>
    </r>
    <r>
      <rPr>
        <b/>
        <sz val="10"/>
        <color indexed="8"/>
        <rFont val="Arial Nova"/>
        <family val="2"/>
      </rPr>
      <t>      Intereses cobrados:</t>
    </r>
  </si>
  <si>
    <r>
      <t>b-</t>
    </r>
    <r>
      <rPr>
        <b/>
        <sz val="10"/>
        <color indexed="8"/>
        <rFont val="Arial Nova"/>
        <family val="2"/>
      </rPr>
      <t>      Intereses pagados:</t>
    </r>
  </si>
  <si>
    <r>
      <t xml:space="preserve">o) </t>
    </r>
    <r>
      <rPr>
        <b/>
        <sz val="10"/>
        <color indexed="8"/>
        <rFont val="Arial Nova"/>
        <family val="2"/>
      </rPr>
      <t>Cuentas a pagar a personas y empresas relacionadas (corto y largo plazo)</t>
    </r>
  </si>
  <si>
    <r>
      <t>-</t>
    </r>
    <r>
      <rPr>
        <sz val="10"/>
        <color indexed="8"/>
        <rFont val="Arial Nova"/>
        <family val="2"/>
      </rPr>
      <t xml:space="preserve">           </t>
    </r>
    <r>
      <rPr>
        <i/>
        <sz val="10"/>
        <color indexed="8"/>
        <rFont val="Arial Nova"/>
        <family val="2"/>
      </rPr>
      <t>Cliente Nro.1049</t>
    </r>
  </si>
  <si>
    <r>
      <t>-</t>
    </r>
    <r>
      <rPr>
        <sz val="10"/>
        <color indexed="8"/>
        <rFont val="Arial Nova"/>
        <family val="2"/>
      </rPr>
      <t xml:space="preserve">           </t>
    </r>
    <r>
      <rPr>
        <i/>
        <sz val="10"/>
        <color indexed="8"/>
        <rFont val="Arial Nova"/>
        <family val="2"/>
      </rPr>
      <t>Cliente Nro.1771</t>
    </r>
  </si>
  <si>
    <r>
      <t>-</t>
    </r>
    <r>
      <rPr>
        <sz val="10"/>
        <color indexed="8"/>
        <rFont val="Arial Nova"/>
        <family val="2"/>
      </rPr>
      <t xml:space="preserve">           </t>
    </r>
    <r>
      <rPr>
        <i/>
        <sz val="10"/>
        <color indexed="8"/>
        <rFont val="Arial Nova"/>
        <family val="2"/>
      </rPr>
      <t>Cliente Nro.9753</t>
    </r>
  </si>
  <si>
    <r>
      <t>a-</t>
    </r>
    <r>
      <rPr>
        <b/>
        <sz val="10"/>
        <color indexed="8"/>
        <rFont val="Arial Nova"/>
        <family val="2"/>
      </rPr>
      <t>      Otros Activos Corrientes</t>
    </r>
  </si>
  <si>
    <r>
      <t>a-</t>
    </r>
    <r>
      <rPr>
        <b/>
        <sz val="10"/>
        <color indexed="8"/>
        <rFont val="Arial Nova"/>
        <family val="2"/>
      </rPr>
      <t>      Préstamos:</t>
    </r>
  </si>
  <si>
    <t>b-      Intereses a pagar:</t>
  </si>
  <si>
    <r>
      <t>c-</t>
    </r>
    <r>
      <rPr>
        <b/>
        <sz val="10"/>
        <color indexed="8"/>
        <rFont val="Arial Nova"/>
        <family val="2"/>
      </rPr>
      <t>      Sobregiros bancarios:</t>
    </r>
  </si>
  <si>
    <r>
      <t>d-</t>
    </r>
    <r>
      <rPr>
        <b/>
        <sz val="10"/>
        <color indexed="8"/>
        <rFont val="Arial Nova"/>
        <family val="2"/>
      </rPr>
      <t>      Préstamos Porcion no corriente:</t>
    </r>
  </si>
  <si>
    <r>
      <t>m) Acreedores por Intermediación</t>
    </r>
    <r>
      <rPr>
        <sz val="10"/>
        <color theme="1"/>
        <rFont val="Arial Nova"/>
        <family val="2"/>
      </rPr>
      <t>:</t>
    </r>
  </si>
  <si>
    <r>
      <t>a-</t>
    </r>
    <r>
      <rPr>
        <b/>
        <sz val="10"/>
        <color indexed="8"/>
        <rFont val="Arial Nova"/>
        <family val="2"/>
      </rPr>
      <t>      Documentos y cuentas por cobrar</t>
    </r>
    <r>
      <rPr>
        <sz val="10"/>
        <color indexed="8"/>
        <rFont val="Arial Nova"/>
        <family val="2"/>
      </rPr>
      <t xml:space="preserve">: </t>
    </r>
  </si>
  <si>
    <r>
      <t>b-</t>
    </r>
    <r>
      <rPr>
        <b/>
        <sz val="10"/>
        <color indexed="8"/>
        <rFont val="Arial Nova"/>
        <family val="2"/>
      </rPr>
      <t>      Deudores Varios</t>
    </r>
    <r>
      <rPr>
        <sz val="10"/>
        <color indexed="8"/>
        <rFont val="Arial Nova"/>
        <family val="2"/>
      </rPr>
      <t xml:space="preserve">: </t>
    </r>
  </si>
  <si>
    <t>Criterios específicos de valuación.</t>
  </si>
  <si>
    <r>
      <t xml:space="preserve">             5)</t>
    </r>
    <r>
      <rPr>
        <b/>
        <sz val="7"/>
        <color indexed="8"/>
        <rFont val="Times New Roman"/>
        <family val="1"/>
      </rPr>
      <t>              </t>
    </r>
  </si>
  <si>
    <r>
      <rPr>
        <b/>
        <sz val="16"/>
        <color theme="4"/>
        <rFont val="Arial Nova"/>
        <family val="2"/>
      </rPr>
      <t>ESTADOS FINANCIEROS
 CAPITAL MARKETS Casa de Bolsa S.A.</t>
    </r>
    <r>
      <rPr>
        <u/>
        <sz val="14"/>
        <color theme="4"/>
        <rFont val="Arial Nova"/>
        <family val="2"/>
      </rPr>
      <t xml:space="preserve"> </t>
    </r>
    <r>
      <rPr>
        <sz val="11"/>
        <color theme="4"/>
        <rFont val="Arial Nova"/>
        <family val="2"/>
      </rPr>
      <t xml:space="preserve">
</t>
    </r>
  </si>
  <si>
    <t>Compañía de Seguro :</t>
  </si>
  <si>
    <t>Número de Póliza :</t>
  </si>
  <si>
    <t>Asegurado :</t>
  </si>
  <si>
    <t>Bolsa de Valores y Productos de Asunción S.A.</t>
  </si>
  <si>
    <t>Tomador:</t>
  </si>
  <si>
    <t>Capital Markets Casa de Bolsa S.A.</t>
  </si>
  <si>
    <t>Fecha de emisión :</t>
  </si>
  <si>
    <t>Vigencia desde :</t>
  </si>
  <si>
    <t>Vigencia hasta :</t>
  </si>
  <si>
    <t>Plazo en días :</t>
  </si>
  <si>
    <t>Capital máximo asegurado :</t>
  </si>
  <si>
    <t>Con referencia a la contabilizacion de ventas de ttitutlos / Valores Financieros, se refleja actualmente solo los montos netos de ganancia/perdida</t>
  </si>
  <si>
    <r>
      <t>Consideración de los Estados Contables</t>
    </r>
    <r>
      <rPr>
        <b/>
        <sz val="11"/>
        <color theme="1"/>
        <rFont val="Calibri"/>
        <family val="2"/>
      </rPr>
      <t xml:space="preserve">. </t>
    </r>
  </si>
  <si>
    <r>
      <t>Información básica de la empresa</t>
    </r>
    <r>
      <rPr>
        <b/>
        <sz val="11"/>
        <color theme="1"/>
        <rFont val="Calibri"/>
        <family val="2"/>
      </rPr>
      <t>.</t>
    </r>
  </si>
  <si>
    <r>
      <t>Capital Markets Casa de Bolsa S.A</t>
    </r>
    <r>
      <rPr>
        <sz val="11"/>
        <color theme="1"/>
        <rFont val="Calibri"/>
        <family val="2"/>
      </rPr>
      <t xml:space="preserve">. Se rige por las disposiciones legales contenidas en la Ley Nº 5810 de Mercados de Capitales y todas las demás disposiciones legales y reglamentarias del país. </t>
    </r>
  </si>
  <si>
    <t>Inicialmente la Sociedad se constituyó bajo la denominación Bolpar S.A. Casa de Bolsa creada el 26 de noviembre de 1990 por Escritura Pública Nº 96 pasada ante el Escribano Público Juan José Benítez Rickman, aprobado el estatuto por Decreto del Poder Ejecutivo Nº 9874 de fecha 13 de junio de 1991 e inscripta en el Registro Público de Comercio bajo en Nº 344, folio 1898 y siguientes en fecha 22 de julio de 1991. Fue dispuesta su inscripción en el Registro de Casas de Bolsa el 9 de noviembre de 1992, prevista en el artículo Nº 85, inciso 4 de la Ley Nº 94/91.</t>
  </si>
  <si>
    <t xml:space="preserve">No aplicable. </t>
  </si>
  <si>
    <r>
      <t>Principales políticas y prácticas contables aplicadas</t>
    </r>
    <r>
      <rPr>
        <b/>
        <sz val="11"/>
        <color theme="1"/>
        <rFont val="Calibri"/>
        <family val="2"/>
      </rPr>
      <t>.</t>
    </r>
  </si>
  <si>
    <t xml:space="preserve">3.2            El criterio de valuación utilizado para los diferentes bienes del Activo de la Firma ha sido el costo histórico sin tener en cuenta el efecto de las variaciones en el poder adquisitivo de la moneda local, que pudieran tener sobre los activos no monetarios que la componen, ya que el ajuste por inflación no es práctica contable aceptada en el Paraguay, excepto por el ajuste realizado hasta el Ejercicio 1998 sobre el valor de las acciones de la Bolsa de Valores según Resolución Nº 75/94 de la Comisión Nacional de Valores y los bienes de uso, que se actualizan de acuerdo a lo indicado en los puntos 2.b, 2c siguientes. Los Estados Contables no reconocen en forma integral los efectos de la inflación sobre los valores tomados en conjunto. </t>
  </si>
  <si>
    <r>
      <t>3.3.</t>
    </r>
    <r>
      <rPr>
        <sz val="7"/>
        <color theme="1"/>
        <rFont val="Times New Roman"/>
        <family val="1"/>
      </rPr>
      <t xml:space="preserve">             </t>
    </r>
    <r>
      <rPr>
        <sz val="11"/>
        <color theme="1"/>
        <rFont val="Calibri"/>
        <family val="2"/>
      </rPr>
      <t>Política de constitución de previsiones: Hasta el momento no se han establecido criterios para el tratamiento de las cuentas incobrables.</t>
    </r>
  </si>
  <si>
    <r>
      <t>3.4.</t>
    </r>
    <r>
      <rPr>
        <sz val="7"/>
        <color theme="1"/>
        <rFont val="Times New Roman"/>
        <family val="1"/>
      </rPr>
      <t xml:space="preserve">             </t>
    </r>
    <r>
      <rPr>
        <sz val="11"/>
        <color theme="1"/>
        <rFont val="Calibri"/>
        <family val="2"/>
      </rPr>
      <t>Política de reconocimiento de ingresos: Se ha utilizado para este efecto el criterio de devengado, lo mismo para los egresos.</t>
    </r>
  </si>
  <si>
    <r>
      <t>Cambio de Políticas y Procedimientos de Contabilidad</t>
    </r>
    <r>
      <rPr>
        <b/>
        <sz val="11"/>
        <color theme="1"/>
        <rFont val="Calibri"/>
        <family val="2"/>
      </rPr>
      <t>.</t>
    </r>
  </si>
  <si>
    <t>Cheng Fang Hsiao</t>
  </si>
  <si>
    <t>Daniel Moreno</t>
  </si>
  <si>
    <t>Rodney Russell Banks</t>
  </si>
  <si>
    <t>Bancop Cta. Corrientes USD 0410142603</t>
  </si>
  <si>
    <t>Bancop Caja de Ahorro JS USD 0410165042</t>
  </si>
  <si>
    <t>s/ Cuentas pasivas</t>
  </si>
  <si>
    <t>Bancop Cta.Cte.GS 0410015970</t>
  </si>
  <si>
    <t>Bancop Cta. Propia CMCB GS 0410145254</t>
  </si>
  <si>
    <t>Tu Financiera Ahorro Gs.</t>
  </si>
  <si>
    <t>Bancop Caja de Ahorro HCHW GS 0410168122</t>
  </si>
  <si>
    <t>Bancop Caja de Ahorro CH GS 0410168114</t>
  </si>
  <si>
    <t>TRANSFERENCIAS PENDIENTES DE CLEARING</t>
  </si>
  <si>
    <t>Bancop Caja de Ahorro CHFC GS 0410165034</t>
  </si>
  <si>
    <t>Intereses a Vencer</t>
  </si>
  <si>
    <r>
      <t>b-</t>
    </r>
    <r>
      <rPr>
        <b/>
        <sz val="10"/>
        <color indexed="8"/>
        <rFont val="Arial Nova"/>
        <family val="2"/>
      </rPr>
      <t>      Otros Activos No Corrientes</t>
    </r>
  </si>
  <si>
    <t>Otros Activos no Corrientes(Nota 5. j)</t>
  </si>
  <si>
    <t>Deudores En Gestión De Cobro – Morosos O Similares</t>
  </si>
  <si>
    <t>Bancop S.A.</t>
  </si>
  <si>
    <t>Copaco SA</t>
  </si>
  <si>
    <t>Distribuidora El Arte</t>
  </si>
  <si>
    <t>Juan Carlos Busto</t>
  </si>
  <si>
    <t>Lux Professional SA</t>
  </si>
  <si>
    <t>AMX Paraguay SA</t>
  </si>
  <si>
    <t>Rodney Banks</t>
  </si>
  <si>
    <t>Accion Bvpasa</t>
  </si>
  <si>
    <t>Otros Pasivos Corrientes</t>
  </si>
  <si>
    <t>Responsabilidad por Administración de Cartera</t>
  </si>
  <si>
    <t>Dividendos a Pagar</t>
  </si>
  <si>
    <t xml:space="preserve">Otros Gastos Operativos  </t>
  </si>
  <si>
    <t>GANANCIAS POR VALUACIÓN DE ACTIVOS MONETARIOS EN MONEDA EXTRANJERA</t>
  </si>
  <si>
    <t>PÉRDIDAS POR VALUACIÓN DE ACTIVOS MONETARIOS EN MONEDA EXTRANJERA</t>
  </si>
  <si>
    <t>s/ Movimientos a informar</t>
  </si>
  <si>
    <t>Acreedores Varios Vinculados (Nota 5. o)</t>
  </si>
  <si>
    <t>Ingresos Varios</t>
  </si>
  <si>
    <t>Dividendos Cobrados</t>
  </si>
  <si>
    <t>Comisiones Cobradas</t>
  </si>
  <si>
    <t>Préstamo Bancop SA</t>
  </si>
  <si>
    <t xml:space="preserve">Préstamos </t>
  </si>
  <si>
    <t>-           Jorge Storm</t>
  </si>
  <si>
    <t>Descuentos Concedidos</t>
  </si>
  <si>
    <t>Dividendos Pagados</t>
  </si>
  <si>
    <t>Activos Intangibles</t>
  </si>
  <si>
    <t xml:space="preserve"> ACTIVO no CORRIENTE</t>
  </si>
  <si>
    <t xml:space="preserve">Inversiones Permanentes </t>
  </si>
  <si>
    <t>Acción de la Bolsa de Valores (Nota 5.e)</t>
  </si>
  <si>
    <r>
      <t xml:space="preserve">Otros Activos </t>
    </r>
    <r>
      <rPr>
        <sz val="9"/>
        <color theme="1"/>
        <rFont val="Arial"/>
        <family val="2"/>
      </rPr>
      <t>(Nota 5. j)</t>
    </r>
  </si>
  <si>
    <t>PASIVO NO CORRIENTE</t>
  </si>
  <si>
    <t>Deudas Financieras</t>
  </si>
  <si>
    <t>BVPASA Accion</t>
  </si>
  <si>
    <t>Aporte de Capital</t>
  </si>
  <si>
    <t>Transferencia a Resultados Acumulados</t>
  </si>
  <si>
    <t>Valuación de la Acción BVPASA</t>
  </si>
  <si>
    <t>Bienes de Uso (Nota 5. g)</t>
  </si>
  <si>
    <t>Prima de Emisión</t>
  </si>
  <si>
    <t>Activos Intangibles y Cargos Diferidos (Nota 5.i)</t>
  </si>
  <si>
    <t>Pasivo Corriente</t>
  </si>
  <si>
    <t>Deudores en Gestion de cobro</t>
  </si>
  <si>
    <r>
      <t>c-</t>
    </r>
    <r>
      <rPr>
        <b/>
        <sz val="10"/>
        <color indexed="8"/>
        <rFont val="Arial Nova"/>
        <family val="2"/>
      </rPr>
      <t xml:space="preserve">      Deudores por Intermediación </t>
    </r>
    <r>
      <rPr>
        <sz val="10"/>
        <color indexed="8"/>
        <rFont val="Arial Nova"/>
        <family val="2"/>
      </rPr>
      <t xml:space="preserve"> </t>
    </r>
  </si>
  <si>
    <t>Municipalidad de Villarrica</t>
  </si>
  <si>
    <t>r.1)  Saldos con personas u empresas relacionadas</t>
  </si>
  <si>
    <t>PARTE RELACIONADA</t>
  </si>
  <si>
    <t>RELACION</t>
  </si>
  <si>
    <t>r.2)  Transacciones con personas u empresas relacionadas</t>
  </si>
  <si>
    <t>Ingresos</t>
  </si>
  <si>
    <t>Comisiones por operaciones</t>
  </si>
  <si>
    <t>Vice- Presidente</t>
  </si>
  <si>
    <t>Egresos</t>
  </si>
  <si>
    <t>Remuneracion Personal Superior</t>
  </si>
  <si>
    <t>HCW</t>
  </si>
  <si>
    <t>Agroganadera 43 S.A.</t>
  </si>
  <si>
    <t>BANCO GNB PARAGUAY S.A.</t>
  </si>
  <si>
    <t>SUDAMERIS BANK SAECA</t>
  </si>
  <si>
    <t>TAPE PORA S.A.</t>
  </si>
  <si>
    <t>Vision Banco SAECA</t>
  </si>
  <si>
    <t>Sueldos y jornales</t>
  </si>
  <si>
    <t>ANDE</t>
  </si>
  <si>
    <t>Fernando Villamayor</t>
  </si>
  <si>
    <t>Nucleo</t>
  </si>
  <si>
    <t>Bancop Cuenta Clearing USD</t>
  </si>
  <si>
    <t>Bancop Cta. Clearing Gs.</t>
  </si>
  <si>
    <t>No se registran cambios en cuenta a criterios contables con respecto al ejercicio anterior cerrado</t>
  </si>
  <si>
    <t>Tarjeta Empresarial</t>
  </si>
  <si>
    <t>Servicio SEN / BVA</t>
  </si>
  <si>
    <t>Iva Costo</t>
  </si>
  <si>
    <t>Otros Ingresos Financieros</t>
  </si>
  <si>
    <t>Ueno Caja de  Ahorro Guaraníes</t>
  </si>
  <si>
    <t>DLS TECHNOLOGY S.A</t>
  </si>
  <si>
    <t>Otros Activos Corrientes</t>
  </si>
  <si>
    <t>Comisiones Pagadas sobre Ventas</t>
  </si>
  <si>
    <t>Salarios a Pagar</t>
  </si>
  <si>
    <t>vicepresidente</t>
  </si>
  <si>
    <t>Comisiones s/ Ventas</t>
  </si>
  <si>
    <t>Registro de Administración de Cartera</t>
  </si>
  <si>
    <t>Deudores por Operaciones</t>
  </si>
  <si>
    <t>Recupero de Gastos BVA</t>
  </si>
  <si>
    <t>Documentos a cobrar – Funcionarios</t>
  </si>
  <si>
    <t>Documentos a cobrar – Dividendos</t>
  </si>
  <si>
    <t>BANCO REGIONAL SAECA</t>
  </si>
  <si>
    <t>DATA SYSTEMS SA EMISORA DE CAPITAL ABIERTO</t>
  </si>
  <si>
    <t>PAMAQ S.A.</t>
  </si>
  <si>
    <t>PCG Auditores - Consultores</t>
  </si>
  <si>
    <t>Asu Capital Casa de Bolsa SA</t>
  </si>
  <si>
    <t>SUDAMERIS SECURITIES CASA DE BOLSA S.A.</t>
  </si>
  <si>
    <t>Esencia News</t>
  </si>
  <si>
    <t>Open Technologies S.A</t>
  </si>
  <si>
    <t>Total</t>
  </si>
  <si>
    <t>Impuestos, Patentes y Tasas</t>
  </si>
  <si>
    <t>Recuadaciones a Depositar</t>
  </si>
  <si>
    <t>INVESTIGACIONES AGROPECUARIAS PARAGUAY SA (IAPP)</t>
  </si>
  <si>
    <t>Seguros a Devengar Edificios</t>
  </si>
  <si>
    <t>Seguros a Devengar CBSA</t>
  </si>
  <si>
    <t>La Agrícola S.A. de Seguros Generales</t>
  </si>
  <si>
    <t>Gisele María Filártiga Mousqués</t>
  </si>
  <si>
    <t>Servicios de seguridad informática</t>
  </si>
  <si>
    <t>Aranceles - BVPASA a Vencer</t>
  </si>
  <si>
    <t>Zetabanco Cta Gs. 155014033</t>
  </si>
  <si>
    <t>Banco Continental - Caja de ahorros</t>
  </si>
  <si>
    <t>Cotizacion Referencial</t>
  </si>
  <si>
    <t>Importe</t>
  </si>
  <si>
    <t xml:space="preserve">     12010115002 Bonos Subordinados </t>
  </si>
  <si>
    <t xml:space="preserve">          [CON] BANCO CONTINENTAL S.A.E.C.A.</t>
  </si>
  <si>
    <t xml:space="preserve">          [SUD] SUDAMERIS BANK S.A.E.C.A.</t>
  </si>
  <si>
    <t xml:space="preserve">     12010115003 Bonos Corporativos </t>
  </si>
  <si>
    <t xml:space="preserve">          [CEC] CECON S.A.E.</t>
  </si>
  <si>
    <t xml:space="preserve">               PYCEC03F1369</t>
  </si>
  <si>
    <t>Inventario (Nota 5,h1)</t>
  </si>
  <si>
    <t>Otros gastos de comercialización</t>
  </si>
  <si>
    <t>Bancop S.A. Intereses no devengados</t>
  </si>
  <si>
    <t>e 1) Invenbtarios Titulos</t>
  </si>
  <si>
    <t>Importe En Moneda</t>
  </si>
  <si>
    <t xml:space="preserve">               PYSUD01F4473</t>
  </si>
  <si>
    <t xml:space="preserve">               PYSUD01F8599</t>
  </si>
  <si>
    <t xml:space="preserve">          [ITI] ITTI S.A.E.C.A.</t>
  </si>
  <si>
    <t xml:space="preserve">               PYITI04F2680</t>
  </si>
  <si>
    <t xml:space="preserve">               PYSUDP0V3878</t>
  </si>
  <si>
    <t>Titulos Renta Fija</t>
  </si>
  <si>
    <t>Titulos Renta Variable</t>
  </si>
  <si>
    <t>Gastos a Recuperar / Seguro contra Fraude</t>
  </si>
  <si>
    <t>FINANCIERA FIC SA EMISORA DE CAPITAL ABIERTO</t>
  </si>
  <si>
    <t>Otros Proveedores Menores</t>
  </si>
  <si>
    <t>Colocacion de Titulos RF / RV</t>
  </si>
  <si>
    <t>Inereses Bancarios</t>
  </si>
  <si>
    <t>Transferencias Pendientes U$</t>
  </si>
  <si>
    <t>Importe en Moneda</t>
  </si>
  <si>
    <t>Christian Miranda</t>
  </si>
  <si>
    <t>Jorge Andres Bernardes Mengual</t>
  </si>
  <si>
    <t>Jorge Storm</t>
  </si>
  <si>
    <t>Alarmas Prosegur Paraguay SA</t>
  </si>
  <si>
    <t>Criterion S.A</t>
  </si>
  <si>
    <t xml:space="preserve">Acreedores Títulos Renta Fija Bonos subordinados  en Repo </t>
  </si>
  <si>
    <t>Reserva Legal del Ejercicio</t>
  </si>
  <si>
    <t>Comisiones pagadas a otras entidades por intermediación</t>
  </si>
  <si>
    <t>BNF Caja de ahorro cuenta: 65.00.651505/8</t>
  </si>
  <si>
    <t>Deudores Menores</t>
  </si>
  <si>
    <t>Costo por venta de CDA</t>
  </si>
  <si>
    <t>Razón Social:</t>
  </si>
  <si>
    <t>RUC N°</t>
  </si>
  <si>
    <t>Registro CNV:</t>
  </si>
  <si>
    <t>122/07</t>
  </si>
  <si>
    <t>Código Bolsa:</t>
  </si>
  <si>
    <t>Dirección Oficina Principal:</t>
  </si>
  <si>
    <t>Tte. Nuñez 295 entre El Dorado y Tte. Ricardo Cocco</t>
  </si>
  <si>
    <t>Teléfono:</t>
  </si>
  <si>
    <t>Email:</t>
  </si>
  <si>
    <t>info@capitalmarkets.com.py</t>
  </si>
  <si>
    <t>Sitio Página Web:</t>
  </si>
  <si>
    <t xml:space="preserve"> www.capitalmarkets.com.py</t>
  </si>
  <si>
    <t>Domicilio Legal:</t>
  </si>
  <si>
    <r>
      <t>Capital Markets Casa de Bolsa S.A</t>
    </r>
    <r>
      <rPr>
        <sz val="9"/>
        <color theme="1"/>
        <rFont val="Arial"/>
        <family val="2"/>
      </rPr>
      <t xml:space="preserve">. Se rige por las disposiciones legales contenidas en la Ley Nº 5810 de Mercados de Capitales y todas las demás disposiciones legales y reglamentarias del país. </t>
    </r>
  </si>
  <si>
    <t>CARGO</t>
  </si>
  <si>
    <t>NOMBRE Y APELLIDO</t>
  </si>
  <si>
    <t>Representantes Legales</t>
  </si>
  <si>
    <t xml:space="preserve">Daniel Andrés Moreno Bogarín </t>
  </si>
  <si>
    <t>Vicepresidente</t>
  </si>
  <si>
    <t>Rodney Russell Banks Magnani</t>
  </si>
  <si>
    <t>Director Titular</t>
  </si>
  <si>
    <t>Fernando Javier Villamayor Bogarin</t>
  </si>
  <si>
    <t>Director Suplente</t>
  </si>
  <si>
    <t>Rómulo Chang Ming Yuan</t>
  </si>
  <si>
    <t>Matias Andrés Moreno Pérez</t>
  </si>
  <si>
    <t>Sindico</t>
  </si>
  <si>
    <t>Juan Manuel Romero</t>
  </si>
  <si>
    <t>Sindico Suplente</t>
  </si>
  <si>
    <t>Javier Eduardo Benitez Pereira</t>
  </si>
  <si>
    <t>Plana Ejecutiva</t>
  </si>
  <si>
    <t xml:space="preserve">Presidente </t>
  </si>
  <si>
    <t>Auditoría Interna</t>
  </si>
  <si>
    <t>Claudia Roa</t>
  </si>
  <si>
    <t>Contador</t>
  </si>
  <si>
    <t>Dora Busto de Arzamendia</t>
  </si>
  <si>
    <t>80009706-8</t>
  </si>
  <si>
    <t>021-201 255</t>
  </si>
  <si>
    <t>AUDITOR EXTERNO INDEPENDIENTE</t>
  </si>
  <si>
    <t>Nombre:</t>
  </si>
  <si>
    <t>RUC:</t>
  </si>
  <si>
    <t>80020816-1</t>
  </si>
  <si>
    <t>1186/09</t>
  </si>
  <si>
    <t>Dirección:</t>
  </si>
  <si>
    <t>Yegros N° 3144</t>
  </si>
  <si>
    <t>(021) 203 965</t>
  </si>
  <si>
    <t>PERSONAS Y EMPRESAS VINCULADAS</t>
  </si>
  <si>
    <t>Nombre</t>
  </si>
  <si>
    <t>Cargo</t>
  </si>
  <si>
    <t>Fernando Javier Villamayor Bogarín</t>
  </si>
  <si>
    <t xml:space="preserve">Director  </t>
  </si>
  <si>
    <t>Auditor Interno</t>
  </si>
  <si>
    <t xml:space="preserve">            ADMINISTRACION </t>
  </si>
  <si>
    <t xml:space="preserve">            CAPITAL Y PROPIEDAD </t>
  </si>
  <si>
    <t xml:space="preserve">            ANTECEDENTES DE CONSTITUCIÓN </t>
  </si>
  <si>
    <t>            IDENTIFICACIÓN</t>
  </si>
  <si>
    <t xml:space="preserve">INFORMACION ADICIONAL DE LA ENTIDAD </t>
  </si>
  <si>
    <t xml:space="preserve">La acción que Capital Markets Casa de Bolsa S.A., posee en la Bolsa de Valores y Productos de Asunción Sociedad Anónima (BVPASA) al 31 de marzo de 2025 se encuentra valuada al último valor negociado en el Mercado. </t>
  </si>
  <si>
    <t xml:space="preserve">               PYCEC01F0454</t>
  </si>
  <si>
    <t xml:space="preserve">          [CMF] COMFAR S.A.E.C.A.</t>
  </si>
  <si>
    <t xml:space="preserve">               PYCMF01F3679</t>
  </si>
  <si>
    <t xml:space="preserve">          [ELE] ELECTROBAN S.A.E.C.A.</t>
  </si>
  <si>
    <t xml:space="preserve">          [FRI] FRIGORIFICO CONCEPCION S.A.</t>
  </si>
  <si>
    <t xml:space="preserve">               PYELEP0V0129</t>
  </si>
  <si>
    <t>Bolsa de Valores y Productos de Asuncion S.A.</t>
  </si>
  <si>
    <t>Licencias Informaticas a Vencer</t>
  </si>
  <si>
    <t>Valores Casa de Bolsa S.A.</t>
  </si>
  <si>
    <t xml:space="preserve">Aguinaldos a pagar </t>
  </si>
  <si>
    <t xml:space="preserve">Venta - Bonos Corporativos </t>
  </si>
  <si>
    <t>Venta - Bonos Financieros</t>
  </si>
  <si>
    <t>Venta - Bonos Subordinados</t>
  </si>
  <si>
    <t>Venta - R.V.  Agentes del M.V.</t>
  </si>
  <si>
    <t>Venta - Bonos Corporativos (Partes Vinculadas)</t>
  </si>
  <si>
    <t>Comisiones por referencias</t>
  </si>
  <si>
    <t>Arancel Bolsa de Valores por R.V. SEN</t>
  </si>
  <si>
    <t>Arancel Bolsa de Valores por Renta Fija SEN</t>
  </si>
  <si>
    <t>Arancel Bolsa de Valores por Pacto (Repo)</t>
  </si>
  <si>
    <t>Ingresos por ajustes y redondeos</t>
  </si>
  <si>
    <t>Otros ingresos de operación</t>
  </si>
  <si>
    <t>Costo por venta de Bonos Corporativos</t>
  </si>
  <si>
    <t>Costo por venta de Bonos Financieros</t>
  </si>
  <si>
    <t>Costo por venta de Bonos Subordinados</t>
  </si>
  <si>
    <t>Costo por venta de Bonos Corporativos (Partes Vinculadas)</t>
  </si>
  <si>
    <t>Costo de venta - R.V. Agentes del M.V.</t>
  </si>
  <si>
    <t>Primas pag. -  Bonos Subordinados  (Repo)</t>
  </si>
  <si>
    <t>Ingresos fondo de garantía Bolsa de Valores</t>
  </si>
  <si>
    <t>Rendimiento - Fondo mutuo</t>
  </si>
  <si>
    <t xml:space="preserve">Com. cob. por Op. de intermed. extrabursátil - R.F. </t>
  </si>
  <si>
    <t>Aportes irrevocables para integración de capital</t>
  </si>
  <si>
    <t xml:space="preserve">* Articulo N° 5 del Estatuto Social: El capital social se fija en la cantidad de Guaraníes seis mil quinientos millones (G.6.500.000.000), distribuido en treinta y cinco mil (35.000) acciones ordinarias, nominativas endosables, de valor nominal de Guaraníes cien mil (G. 100.000) cada una. distribuidas en 50 series de 200 acciones cada una, 5 series de 5000 acciones, caracterizada por numeros romanos para las series y dentro de las mismas arabigos para las acciones y Treinta mil (30,000) acciones preferidas nominaticas  endosables </t>
  </si>
  <si>
    <t>Capital Social</t>
  </si>
  <si>
    <t>Capital Emitido</t>
  </si>
  <si>
    <t>Capital Suscripto e Integrado</t>
  </si>
  <si>
    <t>Capital a Integrar</t>
  </si>
  <si>
    <t>CUADRO DE  CAPITAL SUSCRIPTO E INTEGRADO</t>
  </si>
  <si>
    <t>Accionista</t>
  </si>
  <si>
    <t>Serie</t>
  </si>
  <si>
    <t>Titulo N°</t>
  </si>
  <si>
    <t>Del</t>
  </si>
  <si>
    <t>Al</t>
  </si>
  <si>
    <t>Clase</t>
  </si>
  <si>
    <t>Cantidad de acciones</t>
  </si>
  <si>
    <t>Cantidad de votos</t>
  </si>
  <si>
    <t>% PARTIC.CAPITAL INTEGRADO</t>
  </si>
  <si>
    <t>Alberto Acosta</t>
  </si>
  <si>
    <t>II</t>
  </si>
  <si>
    <t>Ordinaria</t>
  </si>
  <si>
    <t>XI</t>
  </si>
  <si>
    <t>LI</t>
  </si>
  <si>
    <t>Eleonora Scavone</t>
  </si>
  <si>
    <t>X</t>
  </si>
  <si>
    <t>XXXIII</t>
  </si>
  <si>
    <t>XXXVI</t>
  </si>
  <si>
    <t>XXXXIV</t>
  </si>
  <si>
    <t>XXXXV</t>
  </si>
  <si>
    <t>Elizabeth Yegros</t>
  </si>
  <si>
    <t>IV</t>
  </si>
  <si>
    <t>Emerging MC</t>
  </si>
  <si>
    <t>III</t>
  </si>
  <si>
    <t>XXXIV</t>
  </si>
  <si>
    <t>XXXVII</t>
  </si>
  <si>
    <t>XXXVIII</t>
  </si>
  <si>
    <t>XXXXVI</t>
  </si>
  <si>
    <t>Hernán Velilla</t>
  </si>
  <si>
    <t>XXXIX</t>
  </si>
  <si>
    <t>XXXX</t>
  </si>
  <si>
    <t>LII</t>
  </si>
  <si>
    <t>Jorge Denis</t>
  </si>
  <si>
    <t>VI</t>
  </si>
  <si>
    <t xml:space="preserve">XXXVI </t>
  </si>
  <si>
    <t>Juan M. Peña</t>
  </si>
  <si>
    <t>V</t>
  </si>
  <si>
    <t>Quantum Fund</t>
  </si>
  <si>
    <t>XXXV</t>
  </si>
  <si>
    <t>Sergio Britos</t>
  </si>
  <si>
    <t>VII</t>
  </si>
  <si>
    <t>SSBank</t>
  </si>
  <si>
    <t>I</t>
  </si>
  <si>
    <t>VIII</t>
  </si>
  <si>
    <t>IX</t>
  </si>
  <si>
    <t>XII</t>
  </si>
  <si>
    <t>LIII</t>
  </si>
  <si>
    <t>Romulo Yuan</t>
  </si>
  <si>
    <t>Wu Ming Chi</t>
  </si>
  <si>
    <t>XIII</t>
  </si>
  <si>
    <t>XIV</t>
  </si>
  <si>
    <t>XV</t>
  </si>
  <si>
    <t>XVI</t>
  </si>
  <si>
    <t>XVII</t>
  </si>
  <si>
    <t>XVIII</t>
  </si>
  <si>
    <t>XIX</t>
  </si>
  <si>
    <t>XX</t>
  </si>
  <si>
    <t>XXI</t>
  </si>
  <si>
    <t>XXII</t>
  </si>
  <si>
    <t>XXIII</t>
  </si>
  <si>
    <t>XXIV</t>
  </si>
  <si>
    <t>XXV</t>
  </si>
  <si>
    <t>XXVI</t>
  </si>
  <si>
    <t>XXVII</t>
  </si>
  <si>
    <t>XXVIII</t>
  </si>
  <si>
    <t>XXIX</t>
  </si>
  <si>
    <t>XXX</t>
  </si>
  <si>
    <t>XXXI</t>
  </si>
  <si>
    <t>XXXII</t>
  </si>
  <si>
    <t>XXXXI</t>
  </si>
  <si>
    <t>XXXXII</t>
  </si>
  <si>
    <t>XXXXIII</t>
  </si>
  <si>
    <t>XXXXVII</t>
  </si>
  <si>
    <t>XXXXVIII</t>
  </si>
  <si>
    <t>XXXXIX</t>
  </si>
  <si>
    <t>L</t>
  </si>
  <si>
    <t>Gabriela Cabral</t>
  </si>
  <si>
    <t>Preferida</t>
  </si>
  <si>
    <t>Ceidor S.R.L</t>
  </si>
  <si>
    <t>Celeste Huergo Vietto</t>
  </si>
  <si>
    <t>Cristian Maximiliano Romero Muller</t>
  </si>
  <si>
    <t>Jorge Alberto Storm Garcete</t>
  </si>
  <si>
    <t>Carlos Martin Santiago Storm Garcete</t>
  </si>
  <si>
    <t>TOTAL GENERAL</t>
  </si>
  <si>
    <t>Distribución de Acciones</t>
  </si>
  <si>
    <t>Porcentaje</t>
  </si>
  <si>
    <t>Ordinarias Nominativas</t>
  </si>
  <si>
    <t>Preferidas Nominativas</t>
  </si>
  <si>
    <t xml:space="preserve">CAPITAL Y PROPIEDAD </t>
  </si>
  <si>
    <t xml:space="preserve">     12010115001 CDA </t>
  </si>
  <si>
    <t xml:space="preserve">          [BRO] BANCO RÍO S.A.E.C.A.</t>
  </si>
  <si>
    <t xml:space="preserve">               AH2163</t>
  </si>
  <si>
    <t xml:space="preserve">               AH2160</t>
  </si>
  <si>
    <t xml:space="preserve">               AH1761</t>
  </si>
  <si>
    <t xml:space="preserve">               PYFRI10F0780</t>
  </si>
  <si>
    <t xml:space="preserve">          [FSU] FIDEICOMISO LA SUSANA</t>
  </si>
  <si>
    <t xml:space="preserve">               PYFSU05F0400</t>
  </si>
  <si>
    <t xml:space="preserve">               PYFSU04F0294</t>
  </si>
  <si>
    <t xml:space="preserve">          [HIL] HILAGRO S.A.</t>
  </si>
  <si>
    <t xml:space="preserve">               PYHIL01F3102</t>
  </si>
  <si>
    <t xml:space="preserve">               Indefinido</t>
  </si>
  <si>
    <t>Cesar Ariel Gonzalez</t>
  </si>
  <si>
    <t>Camara de Comercio Paraguayo - Francesa</t>
  </si>
  <si>
    <t>-           Ceidorl S.R.L</t>
  </si>
  <si>
    <t>-           Celeste Huergo Vietto</t>
  </si>
  <si>
    <t>-           Carlos Martin Santiago  Storm Garcete</t>
  </si>
  <si>
    <t xml:space="preserve">Com. cob. por Op. de intermed. extrabursátil - R.V. </t>
  </si>
  <si>
    <t>Primas pag. -  Bonos Financieros (Repo)</t>
  </si>
  <si>
    <t>Descuentos Obtenidos</t>
  </si>
  <si>
    <t xml:space="preserve"> Ingresos por serv. - Rep. de Oblig.</t>
  </si>
  <si>
    <t>Información al 30 /06 /2025</t>
  </si>
  <si>
    <t>Tajy Propiedad Cooperativa S.A. De Seguros</t>
  </si>
  <si>
    <t>MODIFICACIÓN DE ESTATUTO SOCIAL. Por Escritura Publica N. 57 (cincuenta y siete) del 16102006 ante el Esc. Ana Maria Zubizarreta, titular del Reg. 896, se trascribió Acta de Asamblea Extraordinaria de BOLPAR CASA DE BOLSA S.A. de fecha 29042006: Cambio de Denominación Social a  CAPITAL MARKETS CASA DE BOLSA SOCIEDAD ANONIMA, Inscripta en la Dirección Gral. de los Reg. Públicos. Dir. de Pers. Jur. y Asoc., matricula Jurídica N. 1986, serie Comercial, bajo el N 79, Folio 773 en fecha 15/02/2007, y la Dirección General de los Registros Públicos, Sección Comercial, matricula comercial N. 1986, bajo el Nº 209, folio 2174, en fecha 16/03/2007.    Posteriormente por Escritura Publica N° 90 (noventa) del 16072020, ante el Esc. Luis Alfredo Robles titular del Reg. 721se transcribio el Acta Extraordinaria de Asamblea N° 04 con el objetivo del aumento de capital social . Posteriormente por escritura N° 43 (cuarenta y tres) del04082023, ante el Escribado Luis Alfredo Robles Titual del Reg. 721 se transcribio el acta de samblea Extraordinaria n°5 con el objetivo de modificar el estatuto a los efectos de dar cumplimiento  a lo establecido een el Reglamento General  de Mercado de Valores N°35 del 09-02-2023.</t>
  </si>
  <si>
    <t xml:space="preserve">  Ingresos por administración de cartera</t>
  </si>
  <si>
    <t xml:space="preserve">  Ingresos por custodia de valores</t>
  </si>
  <si>
    <t xml:space="preserve">  Ingresos por intereses y dividendos de cartera propia</t>
  </si>
  <si>
    <t xml:space="preserve">  Ingresos por venta de cartera propia</t>
  </si>
  <si>
    <t xml:space="preserve">  Ingresos por venta de cartera propia a personas y empresas relacionadas</t>
  </si>
  <si>
    <t xml:space="preserve">  Ingresos por operaciones y servicios a personas relacionadas (Nota...)</t>
  </si>
  <si>
    <t xml:space="preserve">  Ingresos por operaciones y servicios extrabursátiles (Nota...)</t>
  </si>
  <si>
    <t>Total General</t>
  </si>
  <si>
    <t xml:space="preserve">          [RIO] FINANCIERA RÍO S.A.E.C.A.</t>
  </si>
  <si>
    <t xml:space="preserve">               PYBRO01F9085</t>
  </si>
  <si>
    <t xml:space="preserve">          [VIS] VISION BANCO S.A.E.C.A.</t>
  </si>
  <si>
    <t xml:space="preserve">               PYVIS04F7345</t>
  </si>
  <si>
    <t xml:space="preserve">          [NOV] LIBRERÍA Y PAPELERÍA NOVA SOCIEDAD ANÓNIMA</t>
  </si>
  <si>
    <t xml:space="preserve">               PYNOV01F4821</t>
  </si>
  <si>
    <t xml:space="preserve">          [TEL] TELEFONICA CELULAR DEL PARAGUAY S.A.E.</t>
  </si>
  <si>
    <t xml:space="preserve">               PYTEL05F9246</t>
  </si>
  <si>
    <t xml:space="preserve">               PYTEL08F1539</t>
  </si>
  <si>
    <t xml:space="preserve">     12020131001 Acciones Pref. Cart. - SAECA </t>
  </si>
  <si>
    <t xml:space="preserve">     12020131002 Acciones Pref. Desmat. - SAECA</t>
  </si>
  <si>
    <t xml:space="preserve">     12020131003 Acciones Ord. Cart. - SAECA </t>
  </si>
  <si>
    <t xml:space="preserve">          [BEP] Bepsa del Parguay SAECA</t>
  </si>
  <si>
    <t>Juan Carlos Corina</t>
  </si>
  <si>
    <t xml:space="preserve">Acreed. por negoc. - Bonos subordinados (Repo) </t>
  </si>
  <si>
    <t xml:space="preserve"> Int. cob. - Instr. de cartera propia R.F.</t>
  </si>
  <si>
    <t>Int. cob. - Instr. en repo</t>
  </si>
  <si>
    <t xml:space="preserve"> Ingresos por serv. - Adm. de cartera</t>
  </si>
  <si>
    <t xml:space="preserve">Com. pag. asesores independientes </t>
  </si>
  <si>
    <t>Otros gastos de operación</t>
  </si>
  <si>
    <t>Ingresos por Servicios de Rep. De Tenedores</t>
  </si>
  <si>
    <t>BALANCE GENERAL al 31/12/2025 presentado en forma comparativa con el ejercicio anterior cerrado el 31/12/2024.  (En guaraníes)</t>
  </si>
  <si>
    <t xml:space="preserve">Los presentes Estados Financieros (Balance General, Estado de Resultados, Estado de Flujo de Efectivo y Estado de Variación del Patrimonio Neto) correspondientes al 31/12/2025 fue considerado y aprobado por el directorio </t>
  </si>
  <si>
    <t>3.1.             Los Estados Financieros al 31/12/2025, han sido preparados de acuerdo de acuerdo con Normas de Información Financiera emitidas por el Consejo de Contadores Públicos del Paraguay y
criterios de valuación y exposición dictados por la Comisión Nacional de Valores.</t>
  </si>
  <si>
    <t>ESTADO DE RESULTADOS CORRESPONDIENTE AL 31/12/2025 PRESENTADO EN FORMA COMPARATIVA CON EL  31/12/2024. (En guaraníes)</t>
  </si>
  <si>
    <t>CORRESPONDIENTE AL 31/12/2025 PRESENTADO EN FORMA COMPARATIVA CON EL PERIODO AL  31/12/2024</t>
  </si>
  <si>
    <t>CORRESPONDIENTE AL 31-12-2025 PRESENTADO EN FORMA COMPARATIVA CON EL PERIODO AL 31-12-2024</t>
  </si>
  <si>
    <t xml:space="preserve"> Invui - Account Number: NVI-002392</t>
  </si>
  <si>
    <t>Invui - Account Number: NVI-002392</t>
  </si>
  <si>
    <t xml:space="preserve">          [JAO] FINANCIERA PARAGUAYO JAPONESA</t>
  </si>
  <si>
    <t xml:space="preserve">               PYTEL01F2070</t>
  </si>
  <si>
    <t xml:space="preserve">          [APC] ALEMÁN PARAGUAYO CANADIENSE S.A. (ALPACASA) - APC</t>
  </si>
  <si>
    <t xml:space="preserve">               PYAPC03F0915</t>
  </si>
  <si>
    <t xml:space="preserve">               PYITI01F5660</t>
  </si>
  <si>
    <t xml:space="preserve">     12010115004 Bonos Financieros </t>
  </si>
  <si>
    <t xml:space="preserve">          [ITAU] BANCO ITAÚ PARAGUAY S.A.</t>
  </si>
  <si>
    <t xml:space="preserve">               PYTAU12F1841</t>
  </si>
  <si>
    <t xml:space="preserve">     12010125001 Bonos en el exterior</t>
  </si>
  <si>
    <t xml:space="preserve">               USP4R54KAA49</t>
  </si>
  <si>
    <t xml:space="preserve">               CO</t>
  </si>
  <si>
    <t xml:space="preserve">Fondos Mutuos  Administradora de Fondos S.A. Gs    </t>
  </si>
  <si>
    <t>Fondos Mutuos  Administradora de Fondos S.A. U$</t>
  </si>
  <si>
    <t>Ctas. Ctes. de Clientes por compraventa de valores</t>
  </si>
  <si>
    <t>GNB  Clearing Gs</t>
  </si>
  <si>
    <t>GNB  Clearing USD</t>
  </si>
  <si>
    <t>Index Casa de Bolsa S.A.</t>
  </si>
  <si>
    <t>Marcio Fernando Schlindwein</t>
  </si>
  <si>
    <t>Edgar Miguel Bauza Reyes</t>
  </si>
  <si>
    <t>Eugenio Baez</t>
  </si>
  <si>
    <t>Karl Domann</t>
  </si>
  <si>
    <t>CADIEM CBSA</t>
  </si>
  <si>
    <t>BASA ADMINISTRADORA DE FONDOS PATRIMONIALES DE INVERSIÓN SA</t>
  </si>
  <si>
    <t>Patricia Nayive Napout Stratta</t>
  </si>
  <si>
    <t>LINDSAY ALICIA ORTEGA BABAÑOLI</t>
  </si>
  <si>
    <t>KS INMOBILIARIA SA</t>
  </si>
  <si>
    <t>Rossana Mikaela Hempel Closs</t>
  </si>
  <si>
    <t>Farideh Maria Farahani Nogues</t>
  </si>
  <si>
    <t>Cesar Daniel Espinola Mendoza</t>
  </si>
  <si>
    <t>Bryan Lucas Valentin Coronel Cabrera</t>
  </si>
  <si>
    <t>FRIGORIFICO CONCEPCION SA</t>
  </si>
  <si>
    <t>Angel Ramon Alvarez Lopez</t>
  </si>
  <si>
    <t>Lukas Balthasar Lang</t>
  </si>
  <si>
    <t>Visión Banco SAECA</t>
  </si>
  <si>
    <t>SANTA CLARA S.A. MEDICINA PREPAGA</t>
  </si>
  <si>
    <t>UNION INDUSTRIAL PARAGUAYA</t>
  </si>
  <si>
    <t>Essap S.A.</t>
  </si>
  <si>
    <t>Arancel Bolsa de Valores por R.V. - Tradicional</t>
  </si>
  <si>
    <t xml:space="preserve">Venta - Bonos en el exterior </t>
  </si>
  <si>
    <t>Costo por venta de Bonos en el exterior</t>
  </si>
  <si>
    <t>Primas pag. -  Bonos Corporativos (Repo)</t>
  </si>
  <si>
    <t>Indemnizaciones pagadas</t>
  </si>
  <si>
    <t xml:space="preserve">Ingresos por serv. - Custodia de títulos valores </t>
  </si>
  <si>
    <t>Otros deudores Varios a recuperar</t>
  </si>
  <si>
    <t>1514001086-1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</si>
</sst>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_ ;_ * \-#,##0_ ;_ * &quot;-&quot;_ ;_ @_ "/>
    <numFmt numFmtId="165" formatCode="_-* #,##0_-;\-* #,##0_-;_-* &quot;-&quot;??_-;_-@_-"/>
    <numFmt numFmtId="166" formatCode="_(* #,##0.00_);_(* \(#,##0.00\);_(* \-??_);_(@_)"/>
    <numFmt numFmtId="167" formatCode="_-* #,##0.00\ _€_-;\-* #,##0.00\ _€_-;_-* &quot;-&quot;??\ _€_-;_-@_-"/>
    <numFmt numFmtId="168" formatCode="dd/mm/yyyy;@"/>
    <numFmt numFmtId="169" formatCode="&quot;₲&quot;\ #,##0"/>
    <numFmt numFmtId="170" formatCode="_-* #,##0\ _€_-;\-* #,##0\ _€_-;_-* &quot;-&quot;??\ _€_-;_-@_-"/>
    <numFmt numFmtId="171" formatCode="_ * #,##0.00_ ;_ * \-#,##0.00_ ;_ * &quot;-&quot;_ ;_ @_ "/>
    <numFmt numFmtId="172" formatCode="#,##0.000"/>
    <numFmt numFmtId="173" formatCode="#,##0.0000"/>
  </numFmts>
  <fonts count="100">
    <font>
      <sz val="11"/>
      <color theme="1"/>
      <name val="Calibri"/>
      <family val="2"/>
      <scheme val="minor"/>
    </font>
    <font>
      <b/>
      <sz val="9"/>
      <color indexed="8"/>
      <name val="Arial"/>
      <family val="2"/>
    </font>
    <font>
      <sz val="9"/>
      <color indexed="8"/>
      <name val="Arial"/>
      <family val="2"/>
    </font>
    <font>
      <b/>
      <sz val="9"/>
      <name val="Arial"/>
      <family val="2"/>
    </font>
    <font>
      <b/>
      <sz val="10"/>
      <color indexed="8"/>
      <name val="Calibri"/>
      <family val="2"/>
    </font>
    <font>
      <sz val="10"/>
      <color indexed="8"/>
      <name val="Calibri"/>
      <family val="2"/>
    </font>
    <font>
      <b/>
      <sz val="7"/>
      <color indexed="8"/>
      <name val="Times New Roman"/>
      <family val="1"/>
    </font>
    <font>
      <sz val="9"/>
      <name val="Arial"/>
      <family val="2"/>
    </font>
    <font>
      <sz val="10"/>
      <name val="Arial"/>
      <family val="2"/>
    </font>
    <font>
      <sz val="10"/>
      <name val="Calibri"/>
      <family val="2"/>
    </font>
    <font>
      <sz val="11"/>
      <name val="Calibri"/>
      <family val="2"/>
    </font>
    <font>
      <sz val="9"/>
      <name val="Calibri"/>
      <family val="2"/>
    </font>
    <font>
      <b/>
      <u/>
      <sz val="9"/>
      <name val="Calibri"/>
      <family val="2"/>
    </font>
    <font>
      <sz val="11"/>
      <color indexed="8"/>
      <name val="Calibri"/>
      <family val="2"/>
      <charset val="1"/>
    </font>
    <font>
      <sz val="11"/>
      <color theme="1"/>
      <name val="Calibri"/>
      <family val="2"/>
      <scheme val="minor"/>
    </font>
    <font>
      <b/>
      <sz val="11"/>
      <color theme="1"/>
      <name val="Calibri"/>
      <family val="2"/>
      <scheme val="minor"/>
    </font>
    <font>
      <sz val="9"/>
      <color theme="1"/>
      <name val="Calibri"/>
      <family val="2"/>
    </font>
    <font>
      <sz val="8"/>
      <color theme="1"/>
      <name val="Calibri"/>
      <family val="2"/>
    </font>
    <font>
      <b/>
      <sz val="7"/>
      <color theme="1"/>
      <name val="Arial"/>
      <family val="2"/>
    </font>
    <font>
      <b/>
      <sz val="9"/>
      <color theme="1"/>
      <name val="Arial"/>
      <family val="2"/>
    </font>
    <font>
      <sz val="9"/>
      <color theme="1"/>
      <name val="Arial"/>
      <family val="2"/>
    </font>
    <font>
      <sz val="9"/>
      <color theme="1"/>
      <name val="Calibri"/>
      <family val="2"/>
      <scheme val="minor"/>
    </font>
    <font>
      <b/>
      <sz val="11"/>
      <color theme="1"/>
      <name val="Calibri"/>
      <family val="2"/>
    </font>
    <font>
      <b/>
      <u/>
      <sz val="11"/>
      <color theme="1"/>
      <name val="Calibri"/>
      <family val="2"/>
    </font>
    <font>
      <sz val="11"/>
      <color theme="1"/>
      <name val="Calibri"/>
      <family val="2"/>
    </font>
    <font>
      <sz val="8"/>
      <color rgb="FF000000"/>
      <name val="Calibri"/>
      <family val="2"/>
    </font>
    <font>
      <b/>
      <sz val="10"/>
      <color theme="1"/>
      <name val="Calibri"/>
      <family val="2"/>
    </font>
    <font>
      <sz val="12"/>
      <color theme="1"/>
      <name val="Calibri"/>
      <family val="2"/>
    </font>
    <font>
      <b/>
      <sz val="12"/>
      <color theme="1"/>
      <name val="Calibri"/>
      <family val="2"/>
    </font>
    <font>
      <sz val="10"/>
      <color theme="1"/>
      <name val="Calibri"/>
      <family val="2"/>
    </font>
    <font>
      <b/>
      <sz val="10"/>
      <color rgb="FF000000"/>
      <name val="Calibri"/>
      <family val="2"/>
    </font>
    <font>
      <b/>
      <i/>
      <sz val="10"/>
      <color theme="1"/>
      <name val="Calibri"/>
      <family val="2"/>
    </font>
    <font>
      <sz val="10"/>
      <color theme="1"/>
      <name val="Calibri"/>
      <family val="2"/>
      <scheme val="minor"/>
    </font>
    <font>
      <sz val="11"/>
      <name val="Calibri"/>
      <family val="2"/>
      <scheme val="minor"/>
    </font>
    <font>
      <sz val="9"/>
      <name val="Calibri"/>
      <family val="2"/>
      <scheme val="minor"/>
    </font>
    <font>
      <b/>
      <u/>
      <sz val="9"/>
      <color theme="1"/>
      <name val="Calibri"/>
      <family val="2"/>
    </font>
    <font>
      <b/>
      <sz val="11"/>
      <color rgb="FFFF0000"/>
      <name val="Calibri"/>
      <family val="2"/>
      <scheme val="minor"/>
    </font>
    <font>
      <sz val="11"/>
      <color rgb="FFFF0000"/>
      <name val="Calibri"/>
      <family val="2"/>
      <scheme val="minor"/>
    </font>
    <font>
      <sz val="11"/>
      <color theme="0"/>
      <name val="Calibri"/>
      <family val="2"/>
      <scheme val="minor"/>
    </font>
    <font>
      <b/>
      <sz val="8"/>
      <color theme="1"/>
      <name val="Calibri"/>
      <family val="2"/>
    </font>
    <font>
      <sz val="7"/>
      <color theme="1"/>
      <name val="Calibri"/>
      <family val="2"/>
    </font>
    <font>
      <b/>
      <sz val="8"/>
      <color rgb="FF000000"/>
      <name val="Calibri"/>
      <family val="2"/>
    </font>
    <font>
      <sz val="8"/>
      <color theme="1"/>
      <name val="Calibri"/>
      <family val="2"/>
      <scheme val="minor"/>
    </font>
    <font>
      <b/>
      <sz val="11"/>
      <color rgb="FF000000"/>
      <name val="Calibri"/>
      <family val="2"/>
    </font>
    <font>
      <sz val="10"/>
      <color rgb="FF000000"/>
      <name val="Calibri"/>
      <family val="2"/>
    </font>
    <font>
      <i/>
      <sz val="10"/>
      <color rgb="FF000000"/>
      <name val="Calibri"/>
      <family val="2"/>
    </font>
    <font>
      <b/>
      <sz val="9"/>
      <color rgb="FF000000"/>
      <name val="Calibri"/>
      <family val="2"/>
    </font>
    <font>
      <b/>
      <u/>
      <sz val="9"/>
      <color rgb="FF000000"/>
      <name val="Calibri"/>
      <family val="2"/>
    </font>
    <font>
      <sz val="9"/>
      <color rgb="FF000000"/>
      <name val="Calibri"/>
      <family val="2"/>
    </font>
    <font>
      <i/>
      <sz val="9"/>
      <color rgb="FF000000"/>
      <name val="Calibri"/>
      <family val="2"/>
    </font>
    <font>
      <b/>
      <i/>
      <sz val="11"/>
      <color rgb="FF000000"/>
      <name val="Calibri"/>
      <family val="2"/>
      <scheme val="minor"/>
    </font>
    <font>
      <i/>
      <sz val="11"/>
      <color rgb="FF000000"/>
      <name val="Calibri"/>
      <family val="2"/>
      <scheme val="minor"/>
    </font>
    <font>
      <b/>
      <sz val="11"/>
      <color theme="1"/>
      <name val="Arial"/>
      <family val="2"/>
    </font>
    <font>
      <b/>
      <sz val="10"/>
      <name val="Calibri"/>
      <family val="2"/>
    </font>
    <font>
      <b/>
      <sz val="12"/>
      <name val="Calibri"/>
      <family val="2"/>
    </font>
    <font>
      <b/>
      <sz val="11"/>
      <name val="Calibri"/>
      <family val="2"/>
    </font>
    <font>
      <b/>
      <sz val="7"/>
      <name val="Times New Roman"/>
      <family val="1"/>
    </font>
    <font>
      <sz val="11"/>
      <color theme="0"/>
      <name val="Museo Sans 100"/>
      <family val="3"/>
    </font>
    <font>
      <b/>
      <sz val="10"/>
      <color theme="1"/>
      <name val="Arial Nova"/>
      <family val="2"/>
    </font>
    <font>
      <b/>
      <sz val="10"/>
      <color indexed="8"/>
      <name val="Arial Nova"/>
      <family val="2"/>
    </font>
    <font>
      <sz val="10"/>
      <color theme="1"/>
      <name val="Arial Nova"/>
      <family val="2"/>
    </font>
    <font>
      <b/>
      <u/>
      <sz val="10"/>
      <color theme="1"/>
      <name val="Arial Nova"/>
      <family val="2"/>
    </font>
    <font>
      <sz val="10"/>
      <color indexed="8"/>
      <name val="Arial Nova"/>
      <family val="2"/>
    </font>
    <font>
      <sz val="10"/>
      <name val="Arial Nova"/>
      <family val="2"/>
    </font>
    <font>
      <b/>
      <sz val="10"/>
      <name val="Arial Nova"/>
      <family val="2"/>
    </font>
    <font>
      <b/>
      <i/>
      <sz val="10"/>
      <color theme="1"/>
      <name val="Arial Nova"/>
      <family val="2"/>
    </font>
    <font>
      <i/>
      <sz val="10"/>
      <color indexed="8"/>
      <name val="Arial Nova"/>
      <family val="2"/>
    </font>
    <font>
      <b/>
      <sz val="16"/>
      <color theme="4"/>
      <name val="Arial Nova"/>
      <family val="2"/>
    </font>
    <font>
      <u/>
      <sz val="14"/>
      <color theme="4"/>
      <name val="Arial Nova"/>
      <family val="2"/>
    </font>
    <font>
      <sz val="11"/>
      <color theme="4"/>
      <name val="Arial Nova"/>
      <family val="2"/>
    </font>
    <font>
      <b/>
      <sz val="11"/>
      <color theme="4"/>
      <name val="Calibri"/>
      <family val="2"/>
      <scheme val="minor"/>
    </font>
    <font>
      <b/>
      <u/>
      <sz val="11"/>
      <color theme="4"/>
      <name val="Calibri"/>
      <family val="2"/>
    </font>
    <font>
      <b/>
      <sz val="11"/>
      <color theme="4"/>
      <name val="Calibri"/>
      <family val="2"/>
    </font>
    <font>
      <b/>
      <u/>
      <sz val="10"/>
      <color theme="4"/>
      <name val="Calibri"/>
      <family val="2"/>
    </font>
    <font>
      <b/>
      <sz val="10"/>
      <color theme="4"/>
      <name val="Calibri"/>
      <family val="2"/>
    </font>
    <font>
      <b/>
      <sz val="12"/>
      <color theme="4"/>
      <name val="Calibri"/>
      <family val="2"/>
    </font>
    <font>
      <sz val="10"/>
      <color theme="4"/>
      <name val="Calibri"/>
      <family val="2"/>
    </font>
    <font>
      <b/>
      <sz val="8"/>
      <color theme="4"/>
      <name val="Calibri"/>
      <family val="2"/>
    </font>
    <font>
      <sz val="7"/>
      <color theme="1"/>
      <name val="Times New Roman"/>
      <family val="1"/>
    </font>
    <font>
      <b/>
      <sz val="9"/>
      <color theme="4"/>
      <name val="Calibri"/>
      <family val="2"/>
    </font>
    <font>
      <b/>
      <sz val="9"/>
      <color theme="4"/>
      <name val="Arial"/>
      <family val="2"/>
    </font>
    <font>
      <sz val="9"/>
      <color theme="4"/>
      <name val="Calibri"/>
      <family val="2"/>
    </font>
    <font>
      <b/>
      <sz val="9"/>
      <color rgb="FFFF0000"/>
      <name val="Arial"/>
      <family val="2"/>
    </font>
    <font>
      <b/>
      <sz val="10"/>
      <name val="Verdana"/>
      <family val="2"/>
    </font>
    <font>
      <b/>
      <sz val="9"/>
      <color theme="4"/>
      <name val="Arial Nova"/>
      <family val="2"/>
    </font>
    <font>
      <b/>
      <sz val="9"/>
      <color theme="1"/>
      <name val="Arial Nova"/>
      <family val="2"/>
    </font>
    <font>
      <sz val="9"/>
      <color theme="1"/>
      <name val="Arial Nova"/>
      <family val="2"/>
    </font>
    <font>
      <b/>
      <sz val="9"/>
      <color theme="1"/>
      <name val="Calibri"/>
      <family val="2"/>
      <scheme val="minor"/>
    </font>
    <font>
      <sz val="9"/>
      <name val="Arial Nova"/>
      <family val="2"/>
    </font>
    <font>
      <b/>
      <sz val="8"/>
      <color theme="1"/>
      <name val="Arial Nova"/>
      <family val="2"/>
    </font>
    <font>
      <sz val="8"/>
      <color theme="1"/>
      <name val="Arial Nova"/>
      <family val="2"/>
    </font>
    <font>
      <sz val="7"/>
      <color theme="1"/>
      <name val="Calibri"/>
      <family val="2"/>
      <scheme val="minor"/>
    </font>
    <font>
      <b/>
      <sz val="8"/>
      <color theme="4" tint="-0.249977111117893"/>
      <name val="Arial Nova"/>
      <family val="2"/>
    </font>
    <font>
      <sz val="7"/>
      <color theme="1"/>
      <name val="Arial Nova"/>
      <family val="2"/>
    </font>
    <font>
      <sz val="11"/>
      <color rgb="FF000000"/>
      <name val="Calibri"/>
      <family val="2"/>
      <scheme val="minor"/>
    </font>
    <font>
      <b/>
      <sz val="11"/>
      <color rgb="FF000000"/>
      <name val="Calibri"/>
      <family val="2"/>
      <scheme val="minor"/>
    </font>
    <font>
      <b/>
      <sz val="11"/>
      <name val="Arial Nova"/>
      <family val="2"/>
    </font>
    <font>
      <b/>
      <sz val="10"/>
      <color theme="4"/>
      <name val="Arial Nova"/>
      <family val="2"/>
    </font>
    <font>
      <b/>
      <sz val="11"/>
      <color theme="4"/>
      <name val="Arial Nova"/>
      <family val="2"/>
    </font>
    <font>
      <sz val="11"/>
      <color theme="1"/>
      <name val="Arial Nova"/>
      <family val="2"/>
    </font>
  </fonts>
  <fills count="11">
    <fill>
      <patternFill patternType="none"/>
    </fill>
    <fill>
      <patternFill patternType="gray125"/>
    </fill>
    <fill>
      <patternFill patternType="solid">
        <fgColor rgb="FFF2F2F2"/>
        <bgColor indexed="64"/>
      </patternFill>
    </fill>
    <fill>
      <patternFill patternType="gray125">
        <bgColor theme="0" tint="-4.9989318521683403E-2"/>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gray125">
        <bgColor theme="7" tint="0.39997558519241921"/>
      </patternFill>
    </fill>
    <fill>
      <patternFill patternType="solid">
        <fgColor theme="0"/>
        <bgColor indexed="64"/>
      </patternFill>
    </fill>
    <fill>
      <patternFill patternType="solid">
        <fgColor theme="9"/>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right/>
      <top style="thin">
        <color indexed="64"/>
      </top>
      <bottom style="thin">
        <color indexed="64"/>
      </bottom>
      <diagonal/>
    </border>
    <border>
      <left style="thin">
        <color rgb="FF000000"/>
      </left>
      <right/>
      <top style="thin">
        <color rgb="FF000000"/>
      </top>
      <bottom/>
      <diagonal/>
    </border>
  </borders>
  <cellStyleXfs count="10">
    <xf numFmtId="0" fontId="0" fillId="0" borderId="0"/>
    <xf numFmtId="0" fontId="13" fillId="0" borderId="0"/>
    <xf numFmtId="43" fontId="14" fillId="0" borderId="0" applyFont="0" applyFill="0" applyBorder="0" applyAlignment="0" applyProtection="0"/>
    <xf numFmtId="164" fontId="14" fillId="0" borderId="0" applyFont="0" applyFill="0" applyBorder="0" applyAlignment="0" applyProtection="0"/>
    <xf numFmtId="166" fontId="8" fillId="0" borderId="0" applyFill="0" applyBorder="0" applyAlignment="0" applyProtection="0"/>
    <xf numFmtId="167" fontId="14" fillId="0" borderId="0" applyFont="0" applyFill="0" applyBorder="0" applyAlignment="0" applyProtection="0"/>
    <xf numFmtId="0" fontId="8" fillId="0" borderId="0"/>
    <xf numFmtId="164" fontId="14" fillId="0" borderId="0" applyFont="0" applyFill="0" applyBorder="0" applyAlignment="0" applyProtection="0"/>
    <xf numFmtId="9" fontId="14" fillId="0" borderId="0" applyFont="0" applyFill="0" applyBorder="0" applyAlignment="0" applyProtection="0"/>
    <xf numFmtId="0" fontId="38" fillId="10" borderId="0" applyNumberFormat="0" applyBorder="0" applyAlignment="0" applyProtection="0"/>
  </cellStyleXfs>
  <cellXfs count="512">
    <xf numFmtId="0" fontId="0" fillId="0" borderId="0" xfId="0"/>
    <xf numFmtId="0" fontId="15" fillId="0" borderId="0" xfId="0" applyFont="1"/>
    <xf numFmtId="0" fontId="18" fillId="0" borderId="0" xfId="0" applyFont="1"/>
    <xf numFmtId="0" fontId="23" fillId="0" borderId="0" xfId="0" applyFont="1" applyAlignment="1">
      <alignment horizontal="justify" vertical="center"/>
    </xf>
    <xf numFmtId="0" fontId="24" fillId="0" borderId="0" xfId="0" applyFont="1" applyAlignment="1">
      <alignment horizontal="justify" vertical="center"/>
    </xf>
    <xf numFmtId="0" fontId="25" fillId="0" borderId="0" xfId="0" applyFont="1" applyAlignment="1">
      <alignment horizontal="left" vertical="center" wrapText="1"/>
    </xf>
    <xf numFmtId="4" fontId="17" fillId="0" borderId="0" xfId="0" applyNumberFormat="1" applyFont="1" applyAlignment="1">
      <alignment horizontal="center" vertical="center" wrapText="1"/>
    </xf>
    <xf numFmtId="3" fontId="17" fillId="0" borderId="0" xfId="0" applyNumberFormat="1" applyFont="1" applyAlignment="1">
      <alignment horizontal="center" vertical="center" wrapText="1"/>
    </xf>
    <xf numFmtId="0" fontId="22" fillId="0" borderId="0" xfId="0" applyFont="1" applyAlignment="1">
      <alignment horizontal="right" vertical="center"/>
    </xf>
    <xf numFmtId="3" fontId="0" fillId="0" borderId="0" xfId="0" applyNumberFormat="1"/>
    <xf numFmtId="0" fontId="24" fillId="0" borderId="0" xfId="0" applyFont="1" applyAlignment="1">
      <alignment horizontal="right" vertical="center"/>
    </xf>
    <xf numFmtId="0" fontId="29" fillId="0" borderId="0" xfId="0" applyFont="1" applyAlignment="1">
      <alignment horizontal="right" vertical="center"/>
    </xf>
    <xf numFmtId="0" fontId="26" fillId="0" borderId="0" xfId="0" applyFont="1" applyAlignment="1">
      <alignment horizontal="right" vertical="center"/>
    </xf>
    <xf numFmtId="165" fontId="0" fillId="0" borderId="0" xfId="0" applyNumberFormat="1"/>
    <xf numFmtId="0" fontId="32" fillId="0" borderId="0" xfId="0" applyFont="1"/>
    <xf numFmtId="0" fontId="26" fillId="0" borderId="0" xfId="0" applyFont="1" applyAlignment="1">
      <alignment vertical="center"/>
    </xf>
    <xf numFmtId="0" fontId="33" fillId="0" borderId="0" xfId="0" applyFont="1"/>
    <xf numFmtId="3" fontId="33" fillId="0" borderId="0" xfId="0" applyNumberFormat="1" applyFont="1"/>
    <xf numFmtId="0" fontId="12" fillId="0" borderId="1" xfId="0" applyFont="1" applyBorder="1" applyAlignment="1">
      <alignment vertical="center" wrapText="1"/>
    </xf>
    <xf numFmtId="0" fontId="28" fillId="0" borderId="0" xfId="0" applyFont="1" applyAlignment="1">
      <alignment horizontal="center" vertical="center"/>
    </xf>
    <xf numFmtId="0" fontId="31" fillId="0" borderId="0" xfId="0" applyFont="1" applyAlignment="1">
      <alignment horizontal="right" vertical="center"/>
    </xf>
    <xf numFmtId="0" fontId="37" fillId="0" borderId="0" xfId="0" applyFont="1"/>
    <xf numFmtId="0" fontId="38" fillId="0" borderId="0" xfId="0" applyFont="1"/>
    <xf numFmtId="165" fontId="32" fillId="0" borderId="0" xfId="0" applyNumberFormat="1" applyFont="1"/>
    <xf numFmtId="3" fontId="0" fillId="0" borderId="1" xfId="0" applyNumberFormat="1" applyBorder="1"/>
    <xf numFmtId="0" fontId="24" fillId="0" borderId="1" xfId="0" applyFont="1" applyBorder="1" applyAlignment="1">
      <alignment vertical="center"/>
    </xf>
    <xf numFmtId="165" fontId="24" fillId="0" borderId="1" xfId="2" applyNumberFormat="1" applyFont="1" applyFill="1" applyBorder="1" applyAlignment="1">
      <alignment horizontal="right" vertical="center"/>
    </xf>
    <xf numFmtId="0" fontId="22" fillId="0" borderId="1" xfId="0" applyFont="1" applyBorder="1" applyAlignment="1">
      <alignment vertical="center"/>
    </xf>
    <xf numFmtId="165" fontId="22" fillId="0" borderId="1" xfId="2" applyNumberFormat="1" applyFont="1" applyBorder="1" applyAlignment="1">
      <alignment horizontal="right" vertical="center"/>
    </xf>
    <xf numFmtId="165" fontId="29" fillId="0" borderId="1" xfId="2" applyNumberFormat="1" applyFont="1" applyFill="1" applyBorder="1" applyAlignment="1">
      <alignment horizontal="right" vertical="center"/>
    </xf>
    <xf numFmtId="165" fontId="22" fillId="0" borderId="1" xfId="2" applyNumberFormat="1" applyFont="1" applyFill="1" applyBorder="1" applyAlignment="1">
      <alignment horizontal="right" vertical="center"/>
    </xf>
    <xf numFmtId="0" fontId="22" fillId="0" borderId="0" xfId="0" applyFont="1" applyAlignment="1">
      <alignment vertical="center"/>
    </xf>
    <xf numFmtId="0" fontId="24" fillId="0" borderId="1" xfId="0" applyFont="1" applyBorder="1" applyAlignment="1">
      <alignment horizontal="justify" vertical="center" wrapText="1"/>
    </xf>
    <xf numFmtId="0" fontId="22" fillId="0" borderId="1" xfId="0" applyFont="1" applyBorder="1" applyAlignment="1">
      <alignment horizontal="justify" vertical="center" wrapText="1"/>
    </xf>
    <xf numFmtId="3" fontId="22" fillId="0" borderId="1" xfId="0" applyNumberFormat="1" applyFont="1" applyBorder="1" applyAlignment="1">
      <alignment horizontal="right" vertical="center" wrapText="1"/>
    </xf>
    <xf numFmtId="0" fontId="24" fillId="0" borderId="1" xfId="0" applyFont="1" applyBorder="1" applyAlignment="1">
      <alignment vertical="center" wrapText="1"/>
    </xf>
    <xf numFmtId="0" fontId="29" fillId="0" borderId="1" xfId="0" applyFont="1" applyBorder="1" applyAlignment="1">
      <alignment horizontal="justify" vertical="center" wrapText="1"/>
    </xf>
    <xf numFmtId="3" fontId="29" fillId="0" borderId="1" xfId="0" applyNumberFormat="1" applyFont="1" applyBorder="1" applyAlignment="1">
      <alignment horizontal="right" vertical="center" wrapText="1"/>
    </xf>
    <xf numFmtId="0" fontId="29" fillId="0" borderId="1" xfId="0" applyFont="1" applyBorder="1" applyAlignment="1">
      <alignment horizontal="right" vertical="center" wrapText="1"/>
    </xf>
    <xf numFmtId="0" fontId="26" fillId="0" borderId="1" xfId="0" applyFont="1" applyBorder="1" applyAlignment="1">
      <alignment horizontal="justify" vertical="center" wrapText="1"/>
    </xf>
    <xf numFmtId="3" fontId="26" fillId="0" borderId="1" xfId="0" applyNumberFormat="1" applyFont="1" applyBorder="1" applyAlignment="1">
      <alignment horizontal="right" vertical="center" wrapText="1"/>
    </xf>
    <xf numFmtId="165" fontId="29" fillId="0" borderId="1" xfId="2" applyNumberFormat="1" applyFont="1" applyFill="1" applyBorder="1" applyAlignment="1">
      <alignment horizontal="right" vertical="center" wrapText="1"/>
    </xf>
    <xf numFmtId="0" fontId="29" fillId="0" borderId="1" xfId="0" applyFont="1" applyBorder="1" applyAlignment="1">
      <alignment vertical="center"/>
    </xf>
    <xf numFmtId="165" fontId="29" fillId="0" borderId="1" xfId="2" applyNumberFormat="1" applyFont="1" applyBorder="1" applyAlignment="1">
      <alignment horizontal="right" vertical="center"/>
    </xf>
    <xf numFmtId="0" fontId="26" fillId="0" borderId="1" xfId="0" applyFont="1" applyBorder="1" applyAlignment="1">
      <alignment vertical="center"/>
    </xf>
    <xf numFmtId="0" fontId="29" fillId="0" borderId="1" xfId="0" applyFont="1" applyBorder="1" applyAlignment="1">
      <alignment vertical="center" wrapText="1"/>
    </xf>
    <xf numFmtId="0" fontId="26" fillId="0" borderId="1" xfId="0" applyFont="1" applyBorder="1" applyAlignment="1">
      <alignment vertical="center" wrapText="1"/>
    </xf>
    <xf numFmtId="165" fontId="26" fillId="0" borderId="1" xfId="2" applyNumberFormat="1" applyFont="1" applyBorder="1" applyAlignment="1">
      <alignment horizontal="right" vertical="center" wrapText="1"/>
    </xf>
    <xf numFmtId="165" fontId="26" fillId="0" borderId="1" xfId="2" applyNumberFormat="1" applyFont="1" applyBorder="1" applyAlignment="1">
      <alignment horizontal="right" vertical="center"/>
    </xf>
    <xf numFmtId="0" fontId="26" fillId="0" borderId="1" xfId="0" applyFont="1" applyBorder="1" applyAlignment="1">
      <alignment horizontal="right" vertical="center" wrapText="1"/>
    </xf>
    <xf numFmtId="0" fontId="29" fillId="0" borderId="1" xfId="0" applyFont="1" applyBorder="1" applyAlignment="1">
      <alignment horizontal="right" vertical="center"/>
    </xf>
    <xf numFmtId="0" fontId="26" fillId="0" borderId="1" xfId="0" applyFont="1" applyBorder="1" applyAlignment="1">
      <alignment horizontal="right" vertical="center"/>
    </xf>
    <xf numFmtId="0" fontId="29" fillId="0" borderId="1" xfId="0" applyFont="1" applyBorder="1" applyAlignment="1">
      <alignment horizontal="center" vertical="center" wrapText="1"/>
    </xf>
    <xf numFmtId="3" fontId="26" fillId="0" borderId="1" xfId="0" applyNumberFormat="1" applyFont="1" applyBorder="1" applyAlignment="1">
      <alignment horizontal="center" vertical="center" wrapText="1"/>
    </xf>
    <xf numFmtId="3" fontId="29" fillId="0" borderId="1" xfId="0" applyNumberFormat="1" applyFont="1" applyBorder="1" applyAlignment="1">
      <alignment horizontal="center" vertical="center" wrapText="1"/>
    </xf>
    <xf numFmtId="3" fontId="29" fillId="0" borderId="1" xfId="0" applyNumberFormat="1" applyFont="1" applyBorder="1" applyAlignment="1">
      <alignment horizontal="right" vertical="center"/>
    </xf>
    <xf numFmtId="3" fontId="26" fillId="0" borderId="1" xfId="0" applyNumberFormat="1" applyFont="1" applyBorder="1" applyAlignment="1">
      <alignment horizontal="right" vertical="center"/>
    </xf>
    <xf numFmtId="0" fontId="27" fillId="0" borderId="1" xfId="0" applyFont="1" applyBorder="1" applyAlignment="1">
      <alignment vertical="center"/>
    </xf>
    <xf numFmtId="165" fontId="27" fillId="0" borderId="1" xfId="2" applyNumberFormat="1" applyFont="1" applyFill="1" applyBorder="1" applyAlignment="1">
      <alignment horizontal="right" vertical="center"/>
    </xf>
    <xf numFmtId="165" fontId="27" fillId="0" borderId="1" xfId="2" applyNumberFormat="1" applyFont="1" applyBorder="1" applyAlignment="1">
      <alignment horizontal="right" vertical="center"/>
    </xf>
    <xf numFmtId="0" fontId="28" fillId="0" borderId="1" xfId="0" applyFont="1" applyBorder="1" applyAlignment="1">
      <alignment vertical="center"/>
    </xf>
    <xf numFmtId="165" fontId="28" fillId="0" borderId="1" xfId="2" applyNumberFormat="1" applyFont="1" applyBorder="1" applyAlignment="1">
      <alignment horizontal="right" vertical="center"/>
    </xf>
    <xf numFmtId="0" fontId="22" fillId="0" borderId="1" xfId="0" applyFont="1" applyBorder="1" applyAlignment="1">
      <alignment vertical="center" wrapText="1"/>
    </xf>
    <xf numFmtId="4" fontId="29" fillId="0" borderId="1"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0" fontId="39"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39" fillId="0" borderId="1"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3" fontId="17" fillId="0" borderId="1" xfId="0" applyNumberFormat="1" applyFont="1" applyBorder="1" applyAlignment="1">
      <alignment horizontal="center" vertical="center" wrapText="1"/>
    </xf>
    <xf numFmtId="0" fontId="25" fillId="0" borderId="1" xfId="0" applyFont="1" applyBorder="1" applyAlignment="1">
      <alignment horizontal="left" vertical="center" wrapText="1"/>
    </xf>
    <xf numFmtId="4" fontId="40" fillId="0" borderId="1" xfId="0" applyNumberFormat="1" applyFont="1" applyBorder="1" applyAlignment="1">
      <alignment horizontal="center" vertical="center" wrapText="1"/>
    </xf>
    <xf numFmtId="3" fontId="40" fillId="0" borderId="1" xfId="0" applyNumberFormat="1" applyFont="1" applyBorder="1" applyAlignment="1">
      <alignment horizontal="center" vertical="center" wrapText="1"/>
    </xf>
    <xf numFmtId="0" fontId="30" fillId="2" borderId="1" xfId="0" applyFont="1" applyFill="1" applyBorder="1" applyAlignment="1">
      <alignment vertical="center"/>
    </xf>
    <xf numFmtId="0" fontId="43" fillId="2" borderId="1" xfId="0" applyFont="1" applyFill="1" applyBorder="1" applyAlignment="1">
      <alignment vertical="center"/>
    </xf>
    <xf numFmtId="0" fontId="44" fillId="0" borderId="1" xfId="0" applyFont="1" applyBorder="1" applyAlignment="1">
      <alignment vertical="center"/>
    </xf>
    <xf numFmtId="3" fontId="44" fillId="0" borderId="1" xfId="0" applyNumberFormat="1" applyFont="1" applyBorder="1" applyAlignment="1">
      <alignment horizontal="right" vertical="center"/>
    </xf>
    <xf numFmtId="0" fontId="30" fillId="0" borderId="1" xfId="0" applyFont="1" applyBorder="1" applyAlignment="1">
      <alignment vertical="center"/>
    </xf>
    <xf numFmtId="0" fontId="45" fillId="0" borderId="1" xfId="0" applyFont="1" applyBorder="1" applyAlignment="1">
      <alignment horizontal="right" vertical="center"/>
    </xf>
    <xf numFmtId="0" fontId="44" fillId="0" borderId="1" xfId="0" applyFont="1" applyBorder="1" applyAlignment="1">
      <alignment horizontal="right" vertical="center"/>
    </xf>
    <xf numFmtId="3" fontId="30" fillId="0" borderId="1" xfId="0" applyNumberFormat="1" applyFont="1" applyBorder="1" applyAlignment="1">
      <alignment horizontal="right" vertical="center"/>
    </xf>
    <xf numFmtId="0" fontId="43" fillId="0" borderId="1" xfId="0" applyFont="1" applyBorder="1" applyAlignment="1">
      <alignment horizontal="right" vertical="center"/>
    </xf>
    <xf numFmtId="0" fontId="0" fillId="0" borderId="0" xfId="0" applyAlignment="1">
      <alignment horizontal="right"/>
    </xf>
    <xf numFmtId="0" fontId="15" fillId="0" borderId="0" xfId="0" applyFont="1" applyAlignment="1">
      <alignment horizontal="right"/>
    </xf>
    <xf numFmtId="0" fontId="26" fillId="3"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9" fillId="4" borderId="1" xfId="0" applyFont="1" applyFill="1" applyBorder="1" applyAlignment="1">
      <alignment vertical="center" wrapText="1"/>
    </xf>
    <xf numFmtId="0" fontId="29" fillId="4" borderId="1" xfId="0" applyFont="1" applyFill="1" applyBorder="1" applyAlignment="1">
      <alignment horizontal="right" vertical="center" wrapText="1"/>
    </xf>
    <xf numFmtId="3" fontId="26" fillId="0" borderId="1" xfId="0" applyNumberFormat="1" applyFont="1" applyBorder="1" applyAlignment="1">
      <alignment vertical="center" wrapText="1"/>
    </xf>
    <xf numFmtId="3" fontId="29" fillId="0" borderId="1" xfId="2" applyNumberFormat="1" applyFont="1" applyBorder="1" applyAlignment="1">
      <alignment vertical="center" wrapText="1"/>
    </xf>
    <xf numFmtId="3" fontId="29" fillId="0" borderId="1" xfId="0" applyNumberFormat="1" applyFont="1" applyBorder="1" applyAlignment="1">
      <alignment vertical="center" wrapText="1"/>
    </xf>
    <xf numFmtId="3" fontId="29" fillId="0" borderId="1" xfId="3" applyNumberFormat="1" applyFont="1" applyBorder="1" applyAlignment="1">
      <alignment vertical="center" wrapText="1"/>
    </xf>
    <xf numFmtId="3" fontId="9" fillId="0" borderId="1" xfId="0" applyNumberFormat="1" applyFont="1" applyBorder="1" applyAlignment="1">
      <alignment horizontal="right" vertical="center" wrapText="1"/>
    </xf>
    <xf numFmtId="4" fontId="17" fillId="0" borderId="1" xfId="0" applyNumberFormat="1" applyFont="1" applyBorder="1" applyAlignment="1">
      <alignment horizontal="justify" vertical="center" wrapText="1"/>
    </xf>
    <xf numFmtId="0" fontId="7" fillId="0" borderId="11" xfId="0" applyFont="1" applyBorder="1" applyAlignment="1">
      <alignment horizontal="right" vertical="center" wrapText="1"/>
    </xf>
    <xf numFmtId="3" fontId="3" fillId="0" borderId="15" xfId="0" applyNumberFormat="1" applyFont="1" applyBorder="1" applyAlignment="1">
      <alignment horizontal="right" vertical="center" wrapText="1"/>
    </xf>
    <xf numFmtId="3" fontId="7" fillId="0" borderId="15" xfId="0" applyNumberFormat="1" applyFont="1" applyBorder="1" applyAlignment="1">
      <alignment horizontal="right" vertical="center" wrapText="1"/>
    </xf>
    <xf numFmtId="0" fontId="7" fillId="0" borderId="15" xfId="0" applyFont="1" applyBorder="1" applyAlignment="1">
      <alignment horizontal="right" vertical="center" wrapText="1"/>
    </xf>
    <xf numFmtId="165" fontId="7" fillId="0" borderId="15" xfId="2" applyNumberFormat="1" applyFont="1" applyBorder="1" applyAlignment="1">
      <alignment horizontal="right" vertical="center" wrapText="1"/>
    </xf>
    <xf numFmtId="0" fontId="3" fillId="0" borderId="15" xfId="0" applyFont="1" applyBorder="1" applyAlignment="1">
      <alignment horizontal="right" vertical="center" wrapText="1"/>
    </xf>
    <xf numFmtId="0" fontId="34" fillId="0" borderId="15" xfId="0" applyFont="1" applyBorder="1" applyAlignment="1">
      <alignment vertical="top" wrapText="1"/>
    </xf>
    <xf numFmtId="4" fontId="42" fillId="0" borderId="1" xfId="0" applyNumberFormat="1" applyFont="1" applyBorder="1" applyAlignment="1">
      <alignment vertical="top" wrapText="1"/>
    </xf>
    <xf numFmtId="3" fontId="42" fillId="0" borderId="1" xfId="0" applyNumberFormat="1" applyFont="1" applyBorder="1" applyAlignment="1">
      <alignment vertical="top" wrapText="1"/>
    </xf>
    <xf numFmtId="4" fontId="41" fillId="0" borderId="1" xfId="0" applyNumberFormat="1" applyFont="1" applyBorder="1" applyAlignment="1">
      <alignment horizontal="center" vertical="center" wrapText="1"/>
    </xf>
    <xf numFmtId="165" fontId="26" fillId="0" borderId="0" xfId="0" applyNumberFormat="1" applyFont="1" applyAlignment="1">
      <alignment horizontal="right" vertical="center"/>
    </xf>
    <xf numFmtId="0" fontId="50" fillId="0" borderId="0" xfId="0" applyFont="1"/>
    <xf numFmtId="0" fontId="51" fillId="0" borderId="0" xfId="0" applyFont="1"/>
    <xf numFmtId="3" fontId="11" fillId="0" borderId="1" xfId="0" applyNumberFormat="1" applyFont="1" applyBorder="1" applyAlignment="1">
      <alignment vertical="center" wrapText="1"/>
    </xf>
    <xf numFmtId="4" fontId="42" fillId="0" borderId="1" xfId="0" applyNumberFormat="1" applyFont="1" applyBorder="1" applyAlignment="1">
      <alignment horizontal="center" vertical="top" wrapText="1"/>
    </xf>
    <xf numFmtId="0" fontId="55" fillId="0" borderId="0" xfId="0" applyFont="1" applyAlignment="1">
      <alignment horizontal="justify" vertical="center"/>
    </xf>
    <xf numFmtId="0" fontId="53" fillId="0" borderId="1" xfId="0" applyFont="1" applyBorder="1" applyAlignment="1">
      <alignment horizontal="center" vertical="center"/>
    </xf>
    <xf numFmtId="165" fontId="9" fillId="0" borderId="1" xfId="2" applyNumberFormat="1" applyFont="1" applyFill="1" applyBorder="1" applyAlignment="1">
      <alignment horizontal="right" vertical="center" wrapText="1"/>
    </xf>
    <xf numFmtId="0" fontId="53" fillId="0" borderId="1" xfId="0" applyFont="1" applyBorder="1" applyAlignment="1">
      <alignment vertical="center"/>
    </xf>
    <xf numFmtId="165" fontId="53" fillId="0" borderId="1" xfId="2" applyNumberFormat="1" applyFont="1" applyFill="1" applyBorder="1" applyAlignment="1">
      <alignment horizontal="right" vertical="center" wrapText="1"/>
    </xf>
    <xf numFmtId="165" fontId="53" fillId="0" borderId="1" xfId="2" applyNumberFormat="1" applyFont="1" applyFill="1" applyBorder="1" applyAlignment="1">
      <alignment horizontal="right" vertical="center"/>
    </xf>
    <xf numFmtId="0" fontId="55" fillId="0" borderId="0" xfId="0" applyFont="1" applyAlignment="1">
      <alignment vertical="center"/>
    </xf>
    <xf numFmtId="0" fontId="10" fillId="0" borderId="1" xfId="0" applyFont="1" applyBorder="1" applyAlignment="1">
      <alignment horizontal="justify" vertical="center" wrapText="1"/>
    </xf>
    <xf numFmtId="0" fontId="55" fillId="0" borderId="1" xfId="0" applyFont="1" applyBorder="1" applyAlignment="1">
      <alignment horizontal="justify" vertical="center" wrapText="1"/>
    </xf>
    <xf numFmtId="3" fontId="55" fillId="0" borderId="1" xfId="0" applyNumberFormat="1" applyFont="1" applyBorder="1" applyAlignment="1">
      <alignment horizontal="right" vertical="center" wrapText="1"/>
    </xf>
    <xf numFmtId="0" fontId="10" fillId="0" borderId="1" xfId="0" applyFont="1" applyBorder="1" applyAlignment="1">
      <alignment vertical="center" wrapText="1"/>
    </xf>
    <xf numFmtId="0" fontId="22" fillId="0" borderId="0" xfId="0" applyFont="1" applyAlignment="1">
      <alignment horizontal="center" vertical="center"/>
    </xf>
    <xf numFmtId="0" fontId="58" fillId="0" borderId="0" xfId="0" applyFont="1" applyAlignment="1">
      <alignment horizontal="justify" vertical="center"/>
    </xf>
    <xf numFmtId="0" fontId="60" fillId="0" borderId="0" xfId="0" applyFont="1"/>
    <xf numFmtId="0" fontId="60" fillId="0" borderId="0" xfId="0" applyFont="1" applyAlignment="1">
      <alignment horizontal="justify" vertical="center"/>
    </xf>
    <xf numFmtId="0" fontId="60" fillId="0" borderId="0" xfId="0" applyFont="1" applyAlignment="1">
      <alignment horizontal="left" vertical="center"/>
    </xf>
    <xf numFmtId="0" fontId="58" fillId="0" borderId="0" xfId="0" applyFont="1" applyAlignment="1">
      <alignment horizontal="left" vertical="center"/>
    </xf>
    <xf numFmtId="0" fontId="58" fillId="0" borderId="0" xfId="0" applyFont="1"/>
    <xf numFmtId="0" fontId="63" fillId="0" borderId="0" xfId="0" applyFont="1"/>
    <xf numFmtId="0" fontId="58" fillId="0" borderId="0" xfId="0" applyFont="1" applyAlignment="1">
      <alignment vertical="center"/>
    </xf>
    <xf numFmtId="0" fontId="64" fillId="0" borderId="0" xfId="0" applyFont="1" applyAlignment="1">
      <alignment vertical="center"/>
    </xf>
    <xf numFmtId="3" fontId="60" fillId="0" borderId="0" xfId="0" applyNumberFormat="1" applyFont="1"/>
    <xf numFmtId="0" fontId="58" fillId="0" borderId="0" xfId="0" applyFont="1" applyAlignment="1">
      <alignment horizontal="left" wrapText="1"/>
    </xf>
    <xf numFmtId="165" fontId="60" fillId="0" borderId="3" xfId="2" applyNumberFormat="1" applyFont="1" applyFill="1" applyBorder="1" applyAlignment="1">
      <alignment horizontal="right" vertical="center"/>
    </xf>
    <xf numFmtId="165" fontId="65" fillId="0" borderId="0" xfId="2" applyNumberFormat="1" applyFont="1" applyFill="1" applyBorder="1" applyAlignment="1">
      <alignment horizontal="right" vertical="center"/>
    </xf>
    <xf numFmtId="49" fontId="60" fillId="0" borderId="10" xfId="0" applyNumberFormat="1" applyFont="1" applyBorder="1" applyAlignment="1">
      <alignment horizontal="left" vertical="center" indent="5"/>
    </xf>
    <xf numFmtId="0" fontId="64" fillId="0" borderId="0" xfId="0" applyFont="1" applyAlignment="1">
      <alignment horizontal="justify" vertical="center"/>
    </xf>
    <xf numFmtId="0" fontId="58" fillId="5" borderId="0" xfId="0" applyFont="1" applyFill="1" applyAlignment="1">
      <alignment horizontal="left" vertical="center" indent="4"/>
    </xf>
    <xf numFmtId="0" fontId="58" fillId="5" borderId="0" xfId="0" applyFont="1" applyFill="1"/>
    <xf numFmtId="3" fontId="58" fillId="5" borderId="0" xfId="0" applyNumberFormat="1" applyFont="1" applyFill="1"/>
    <xf numFmtId="0" fontId="71" fillId="7" borderId="1" xfId="0" applyFont="1" applyFill="1" applyBorder="1" applyAlignment="1">
      <alignment horizontal="center" vertical="center" wrapText="1"/>
    </xf>
    <xf numFmtId="0" fontId="72" fillId="7" borderId="1" xfId="0" applyFont="1" applyFill="1" applyBorder="1" applyAlignment="1">
      <alignment horizontal="center" vertical="center" wrapText="1"/>
    </xf>
    <xf numFmtId="0" fontId="73" fillId="7" borderId="1" xfId="0" applyFont="1" applyFill="1" applyBorder="1" applyAlignment="1">
      <alignment horizontal="center" vertical="center" wrapText="1"/>
    </xf>
    <xf numFmtId="0" fontId="74" fillId="7" borderId="1" xfId="0" applyFont="1" applyFill="1" applyBorder="1" applyAlignment="1">
      <alignment horizontal="center" vertical="center" wrapText="1"/>
    </xf>
    <xf numFmtId="0" fontId="74" fillId="7" borderId="1" xfId="0" applyFont="1" applyFill="1" applyBorder="1" applyAlignment="1">
      <alignment horizontal="center" vertical="center"/>
    </xf>
    <xf numFmtId="0" fontId="74" fillId="7" borderId="1" xfId="0" applyFont="1" applyFill="1" applyBorder="1" applyAlignment="1">
      <alignment vertical="center" wrapText="1"/>
    </xf>
    <xf numFmtId="0" fontId="74" fillId="7" borderId="11" xfId="0" applyFont="1" applyFill="1" applyBorder="1" applyAlignment="1">
      <alignment horizontal="center" vertical="center"/>
    </xf>
    <xf numFmtId="0" fontId="74" fillId="7" borderId="12" xfId="0" applyFont="1" applyFill="1" applyBorder="1" applyAlignment="1">
      <alignment horizontal="center" vertical="center"/>
    </xf>
    <xf numFmtId="0" fontId="74" fillId="8" borderId="1" xfId="0" applyFont="1" applyFill="1" applyBorder="1" applyAlignment="1">
      <alignment horizontal="center" vertical="center" wrapText="1"/>
    </xf>
    <xf numFmtId="0" fontId="72" fillId="7" borderId="1" xfId="0" applyFont="1" applyFill="1" applyBorder="1" applyAlignment="1">
      <alignment horizontal="center" vertical="center"/>
    </xf>
    <xf numFmtId="3" fontId="74" fillId="7" borderId="1" xfId="0" applyNumberFormat="1" applyFont="1" applyFill="1" applyBorder="1" applyAlignment="1">
      <alignment horizontal="right" vertical="center" wrapText="1"/>
    </xf>
    <xf numFmtId="0" fontId="77" fillId="7" borderId="1" xfId="0" applyFont="1" applyFill="1" applyBorder="1" applyAlignment="1">
      <alignment horizontal="center" vertical="center" wrapText="1"/>
    </xf>
    <xf numFmtId="0" fontId="23" fillId="0" borderId="0" xfId="0" applyFont="1" applyAlignment="1">
      <alignment horizontal="center" vertical="center"/>
    </xf>
    <xf numFmtId="0" fontId="22" fillId="0" borderId="0" xfId="0" applyFont="1" applyAlignment="1">
      <alignment horizontal="justify" vertical="center"/>
    </xf>
    <xf numFmtId="0" fontId="74" fillId="7" borderId="1" xfId="0" applyFont="1" applyFill="1" applyBorder="1" applyAlignment="1">
      <alignment vertical="center"/>
    </xf>
    <xf numFmtId="0" fontId="79" fillId="7" borderId="1" xfId="0" applyFont="1" applyFill="1" applyBorder="1" applyAlignment="1">
      <alignment horizontal="center" vertical="center" wrapText="1"/>
    </xf>
    <xf numFmtId="0" fontId="79" fillId="7" borderId="1" xfId="0" applyFont="1" applyFill="1" applyBorder="1" applyAlignment="1">
      <alignment vertical="center"/>
    </xf>
    <xf numFmtId="0" fontId="77" fillId="7" borderId="1" xfId="0" applyFont="1" applyFill="1" applyBorder="1" applyAlignment="1">
      <alignment horizontal="center" vertical="center"/>
    </xf>
    <xf numFmtId="0" fontId="9" fillId="0" borderId="1" xfId="0" applyFont="1" applyBorder="1" applyAlignment="1">
      <alignment horizontal="left" vertical="center"/>
    </xf>
    <xf numFmtId="3" fontId="53" fillId="0" borderId="1" xfId="0" applyNumberFormat="1" applyFont="1" applyBorder="1" applyAlignment="1">
      <alignment horizontal="center" vertical="center"/>
    </xf>
    <xf numFmtId="165" fontId="22" fillId="0" borderId="0" xfId="2" applyNumberFormat="1" applyFont="1" applyBorder="1" applyAlignment="1">
      <alignment horizontal="right" vertical="center"/>
    </xf>
    <xf numFmtId="165" fontId="22" fillId="0" borderId="0" xfId="2" applyNumberFormat="1" applyFont="1" applyFill="1" applyBorder="1" applyAlignment="1">
      <alignment horizontal="right" vertical="center"/>
    </xf>
    <xf numFmtId="0" fontId="74" fillId="0" borderId="0" xfId="0" applyFont="1" applyAlignment="1">
      <alignment horizontal="center" vertical="center"/>
    </xf>
    <xf numFmtId="164" fontId="9" fillId="0" borderId="1" xfId="3" applyFont="1" applyFill="1" applyBorder="1" applyAlignment="1">
      <alignment horizontal="center" vertical="center"/>
    </xf>
    <xf numFmtId="0" fontId="74" fillId="7" borderId="19" xfId="0" applyFont="1" applyFill="1" applyBorder="1" applyAlignment="1">
      <alignment horizontal="center" vertical="center"/>
    </xf>
    <xf numFmtId="0" fontId="74" fillId="7" borderId="20" xfId="0" applyFont="1" applyFill="1" applyBorder="1" applyAlignment="1">
      <alignment horizontal="center" vertical="center"/>
    </xf>
    <xf numFmtId="0" fontId="74" fillId="7" borderId="18" xfId="0" applyFont="1" applyFill="1" applyBorder="1" applyAlignment="1">
      <alignment horizontal="center" vertical="center"/>
    </xf>
    <xf numFmtId="0" fontId="9" fillId="0" borderId="4" xfId="0" applyFont="1" applyBorder="1" applyAlignment="1">
      <alignment horizontal="left" vertical="center"/>
    </xf>
    <xf numFmtId="0" fontId="74" fillId="0" borderId="7" xfId="0" applyFont="1" applyBorder="1" applyAlignment="1">
      <alignment horizontal="center" vertical="center"/>
    </xf>
    <xf numFmtId="164" fontId="53" fillId="0" borderId="8" xfId="0" applyNumberFormat="1" applyFont="1" applyBorder="1" applyAlignment="1">
      <alignment horizontal="center" vertical="center"/>
    </xf>
    <xf numFmtId="164" fontId="53" fillId="0" borderId="9" xfId="0" applyNumberFormat="1" applyFont="1" applyBorder="1" applyAlignment="1">
      <alignment horizontal="center" vertical="center"/>
    </xf>
    <xf numFmtId="165" fontId="7" fillId="0" borderId="15" xfId="0" applyNumberFormat="1" applyFont="1" applyBorder="1" applyAlignment="1">
      <alignment horizontal="right" vertical="center" wrapText="1"/>
    </xf>
    <xf numFmtId="0" fontId="0" fillId="0" borderId="0" xfId="0" applyAlignment="1">
      <alignment wrapText="1"/>
    </xf>
    <xf numFmtId="0" fontId="26" fillId="0" borderId="0" xfId="0" applyFont="1" applyAlignment="1">
      <alignment horizontal="justify" vertical="center"/>
    </xf>
    <xf numFmtId="0" fontId="29" fillId="0" borderId="0" xfId="0" applyFont="1" applyAlignment="1">
      <alignment horizontal="justify" vertical="center"/>
    </xf>
    <xf numFmtId="0" fontId="26" fillId="0" borderId="0" xfId="0" applyFont="1" applyAlignment="1">
      <alignment vertical="center" wrapText="1"/>
    </xf>
    <xf numFmtId="165" fontId="26" fillId="0" borderId="0" xfId="2" applyNumberFormat="1" applyFont="1" applyBorder="1" applyAlignment="1">
      <alignment horizontal="right" vertical="center" wrapText="1"/>
    </xf>
    <xf numFmtId="165" fontId="26" fillId="0" borderId="0" xfId="2" applyNumberFormat="1" applyFont="1" applyFill="1" applyBorder="1" applyAlignment="1">
      <alignment horizontal="right" vertical="center" wrapText="1"/>
    </xf>
    <xf numFmtId="0" fontId="74" fillId="7" borderId="12" xfId="0" applyFont="1" applyFill="1" applyBorder="1" applyAlignment="1">
      <alignment horizontal="center" vertical="center" wrapText="1"/>
    </xf>
    <xf numFmtId="0" fontId="74" fillId="7" borderId="12" xfId="0" applyFont="1" applyFill="1" applyBorder="1" applyAlignment="1">
      <alignment vertical="center" wrapText="1"/>
    </xf>
    <xf numFmtId="0" fontId="74" fillId="7" borderId="14" xfId="0" applyFont="1" applyFill="1" applyBorder="1" applyAlignment="1">
      <alignment horizontal="center" vertical="center" wrapText="1"/>
    </xf>
    <xf numFmtId="0" fontId="74" fillId="7" borderId="14" xfId="0" applyFont="1" applyFill="1" applyBorder="1" applyAlignment="1">
      <alignment vertical="center" wrapText="1"/>
    </xf>
    <xf numFmtId="3" fontId="43" fillId="0" borderId="1" xfId="0" applyNumberFormat="1" applyFont="1" applyBorder="1" applyAlignment="1">
      <alignment horizontal="right" vertical="center"/>
    </xf>
    <xf numFmtId="3" fontId="43" fillId="2" borderId="1" xfId="0" applyNumberFormat="1" applyFont="1" applyFill="1" applyBorder="1" applyAlignment="1">
      <alignment vertical="center"/>
    </xf>
    <xf numFmtId="0" fontId="25" fillId="0" borderId="1" xfId="0" applyFont="1" applyBorder="1" applyAlignment="1">
      <alignment vertical="center" wrapText="1"/>
    </xf>
    <xf numFmtId="164" fontId="53" fillId="0" borderId="0" xfId="0" applyNumberFormat="1" applyFont="1" applyAlignment="1">
      <alignment horizontal="center" vertical="center"/>
    </xf>
    <xf numFmtId="164" fontId="7" fillId="0" borderId="15" xfId="0" applyNumberFormat="1" applyFont="1" applyBorder="1" applyAlignment="1">
      <alignment horizontal="right" vertical="center" wrapText="1"/>
    </xf>
    <xf numFmtId="49" fontId="9" fillId="0" borderId="4" xfId="0" applyNumberFormat="1" applyFont="1" applyBorder="1" applyAlignment="1">
      <alignment horizontal="left" vertical="center"/>
    </xf>
    <xf numFmtId="0" fontId="24" fillId="0" borderId="1" xfId="0" applyFont="1" applyBorder="1" applyAlignment="1">
      <alignment horizontal="justify" vertical="center"/>
    </xf>
    <xf numFmtId="0" fontId="29" fillId="0" borderId="1" xfId="0" applyFont="1" applyBorder="1" applyAlignment="1">
      <alignment horizontal="left" vertical="center" wrapText="1"/>
    </xf>
    <xf numFmtId="3" fontId="26" fillId="0" borderId="1" xfId="2" applyNumberFormat="1" applyFont="1" applyBorder="1" applyAlignment="1">
      <alignment vertical="center" wrapText="1"/>
    </xf>
    <xf numFmtId="3" fontId="26" fillId="0" borderId="1" xfId="2" applyNumberFormat="1" applyFont="1" applyBorder="1" applyAlignment="1">
      <alignment horizontal="right" vertical="center" wrapText="1"/>
    </xf>
    <xf numFmtId="3" fontId="24" fillId="0" borderId="1" xfId="3" applyNumberFormat="1" applyFont="1" applyBorder="1" applyAlignment="1">
      <alignment horizontal="right" vertical="center" wrapText="1"/>
    </xf>
    <xf numFmtId="3" fontId="7" fillId="0" borderId="11" xfId="0" applyNumberFormat="1" applyFont="1" applyBorder="1" applyAlignment="1">
      <alignment horizontal="right" vertical="center" wrapText="1"/>
    </xf>
    <xf numFmtId="0" fontId="3" fillId="0" borderId="11" xfId="0" applyFont="1" applyBorder="1" applyAlignment="1">
      <alignment vertical="center" wrapText="1"/>
    </xf>
    <xf numFmtId="0" fontId="19" fillId="0" borderId="15" xfId="0" applyFont="1" applyBorder="1" applyAlignment="1">
      <alignment vertical="center" wrapText="1"/>
    </xf>
    <xf numFmtId="0" fontId="3" fillId="0" borderId="15" xfId="0" applyFont="1" applyBorder="1" applyAlignment="1">
      <alignment vertical="center" wrapText="1"/>
    </xf>
    <xf numFmtId="0" fontId="20" fillId="0" borderId="15" xfId="0" applyFont="1" applyBorder="1" applyAlignment="1">
      <alignment vertical="center" wrapText="1"/>
    </xf>
    <xf numFmtId="0" fontId="7" fillId="0" borderId="15" xfId="0" applyFont="1" applyBorder="1" applyAlignment="1">
      <alignment vertical="center" wrapText="1"/>
    </xf>
    <xf numFmtId="3" fontId="7" fillId="0" borderId="15" xfId="0" applyNumberFormat="1" applyFont="1" applyBorder="1" applyAlignment="1">
      <alignment vertical="center" wrapText="1"/>
    </xf>
    <xf numFmtId="3" fontId="34" fillId="0" borderId="15" xfId="0" applyNumberFormat="1" applyFont="1" applyBorder="1" applyAlignment="1">
      <alignment vertical="top" wrapText="1"/>
    </xf>
    <xf numFmtId="3" fontId="48" fillId="0" borderId="1" xfId="3" applyNumberFormat="1" applyFont="1" applyFill="1" applyBorder="1" applyAlignment="1">
      <alignment horizontal="right" vertical="center"/>
    </xf>
    <xf numFmtId="3" fontId="53" fillId="0" borderId="1" xfId="0" applyNumberFormat="1" applyFont="1" applyBorder="1" applyAlignment="1">
      <alignment horizontal="right" vertical="center"/>
    </xf>
    <xf numFmtId="0" fontId="28" fillId="0" borderId="0" xfId="0" applyFont="1" applyAlignment="1">
      <alignment vertical="center"/>
    </xf>
    <xf numFmtId="165" fontId="28" fillId="0" borderId="0" xfId="2" applyNumberFormat="1" applyFont="1" applyBorder="1" applyAlignment="1">
      <alignment horizontal="right" vertical="center"/>
    </xf>
    <xf numFmtId="3" fontId="3" fillId="9" borderId="15" xfId="0" applyNumberFormat="1" applyFont="1" applyFill="1" applyBorder="1" applyAlignment="1">
      <alignment horizontal="right" vertical="center" wrapText="1"/>
    </xf>
    <xf numFmtId="3" fontId="3" fillId="9" borderId="16" xfId="0" applyNumberFormat="1" applyFont="1" applyFill="1" applyBorder="1" applyAlignment="1">
      <alignment horizontal="right" vertical="center" wrapText="1"/>
    </xf>
    <xf numFmtId="3" fontId="26" fillId="9" borderId="1" xfId="0" applyNumberFormat="1" applyFont="1" applyFill="1" applyBorder="1" applyAlignment="1">
      <alignment vertical="center" wrapText="1"/>
    </xf>
    <xf numFmtId="0" fontId="29" fillId="9" borderId="1" xfId="0" applyFont="1" applyFill="1" applyBorder="1" applyAlignment="1">
      <alignment vertical="center" wrapText="1"/>
    </xf>
    <xf numFmtId="3" fontId="29" fillId="9" borderId="1" xfId="0" applyNumberFormat="1" applyFont="1" applyFill="1" applyBorder="1" applyAlignment="1">
      <alignment vertical="center" wrapText="1"/>
    </xf>
    <xf numFmtId="3" fontId="0" fillId="9" borderId="1" xfId="0" applyNumberFormat="1" applyFill="1" applyBorder="1" applyAlignment="1">
      <alignment wrapText="1"/>
    </xf>
    <xf numFmtId="0" fontId="26" fillId="9" borderId="1" xfId="0" applyFont="1" applyFill="1" applyBorder="1" applyAlignment="1">
      <alignment vertical="center" wrapText="1"/>
    </xf>
    <xf numFmtId="3" fontId="26" fillId="9" borderId="1" xfId="0" applyNumberFormat="1" applyFont="1" applyFill="1" applyBorder="1" applyAlignment="1">
      <alignment horizontal="right" vertical="center" wrapText="1"/>
    </xf>
    <xf numFmtId="3" fontId="30" fillId="9" borderId="1" xfId="0" applyNumberFormat="1" applyFont="1" applyFill="1" applyBorder="1" applyAlignment="1">
      <alignment horizontal="right" vertical="center"/>
    </xf>
    <xf numFmtId="0" fontId="36" fillId="0" borderId="0" xfId="0" applyFont="1"/>
    <xf numFmtId="0" fontId="30" fillId="0" borderId="0" xfId="0" applyFont="1" applyAlignment="1">
      <alignment horizontal="center" vertical="center"/>
    </xf>
    <xf numFmtId="0" fontId="30" fillId="0" borderId="0" xfId="0" applyFont="1" applyAlignment="1">
      <alignment horizontal="center" vertical="center" wrapText="1"/>
    </xf>
    <xf numFmtId="0" fontId="24" fillId="0" borderId="0" xfId="0" applyFont="1" applyAlignment="1">
      <alignment horizontal="justify" vertical="center" wrapText="1"/>
    </xf>
    <xf numFmtId="164" fontId="0" fillId="0" borderId="0" xfId="0" applyNumberFormat="1"/>
    <xf numFmtId="0" fontId="35" fillId="0" borderId="1" xfId="0" applyFont="1" applyBorder="1" applyAlignment="1">
      <alignment vertical="center" wrapText="1"/>
    </xf>
    <xf numFmtId="0" fontId="16" fillId="0" borderId="1" xfId="0" applyFont="1" applyBorder="1" applyAlignment="1">
      <alignment vertical="center" wrapText="1"/>
    </xf>
    <xf numFmtId="0" fontId="11" fillId="0" borderId="1" xfId="0" applyFont="1" applyBorder="1" applyAlignment="1">
      <alignment vertical="center"/>
    </xf>
    <xf numFmtId="3" fontId="44" fillId="0" borderId="1" xfId="3" applyNumberFormat="1" applyFont="1" applyBorder="1" applyAlignment="1">
      <alignment horizontal="right" vertical="center"/>
    </xf>
    <xf numFmtId="0" fontId="9" fillId="0" borderId="31" xfId="0" applyFont="1" applyBorder="1" applyAlignment="1">
      <alignment horizontal="left" vertical="center"/>
    </xf>
    <xf numFmtId="164" fontId="9" fillId="0" borderId="6" xfId="3" applyFont="1" applyFill="1" applyBorder="1" applyAlignment="1">
      <alignment horizontal="center" vertical="center"/>
    </xf>
    <xf numFmtId="0" fontId="16" fillId="0" borderId="31" xfId="0" applyFont="1" applyBorder="1" applyAlignment="1">
      <alignment vertical="center" wrapText="1"/>
    </xf>
    <xf numFmtId="3" fontId="11" fillId="0" borderId="6" xfId="0" applyNumberFormat="1" applyFont="1" applyBorder="1" applyAlignment="1">
      <alignment vertical="center" wrapText="1"/>
    </xf>
    <xf numFmtId="3" fontId="11" fillId="0" borderId="6" xfId="3" applyNumberFormat="1" applyFont="1" applyBorder="1" applyAlignment="1">
      <alignment vertical="center" wrapText="1"/>
    </xf>
    <xf numFmtId="3" fontId="11" fillId="0" borderId="8" xfId="3" applyNumberFormat="1" applyFont="1" applyBorder="1" applyAlignment="1">
      <alignment vertical="center" wrapText="1"/>
    </xf>
    <xf numFmtId="164" fontId="29" fillId="0" borderId="1" xfId="3" applyFont="1" applyBorder="1" applyAlignment="1">
      <alignment horizontal="right" vertical="center" wrapText="1"/>
    </xf>
    <xf numFmtId="49" fontId="29" fillId="0" borderId="1" xfId="0" applyNumberFormat="1" applyFont="1" applyBorder="1" applyAlignment="1">
      <alignment vertical="center" wrapText="1"/>
    </xf>
    <xf numFmtId="49" fontId="29" fillId="0" borderId="6" xfId="0" applyNumberFormat="1" applyFont="1" applyBorder="1" applyAlignment="1">
      <alignment vertical="center" wrapText="1"/>
    </xf>
    <xf numFmtId="165" fontId="26" fillId="0" borderId="6" xfId="2" applyNumberFormat="1" applyFont="1" applyFill="1" applyBorder="1" applyAlignment="1">
      <alignment horizontal="right" vertical="center" wrapText="1"/>
    </xf>
    <xf numFmtId="165" fontId="26" fillId="0" borderId="6" xfId="2" applyNumberFormat="1" applyFont="1" applyBorder="1" applyAlignment="1">
      <alignment horizontal="right" vertical="center" wrapText="1"/>
    </xf>
    <xf numFmtId="0" fontId="26" fillId="0" borderId="10" xfId="0" applyFont="1" applyBorder="1" applyAlignment="1">
      <alignment vertical="center" wrapText="1"/>
    </xf>
    <xf numFmtId="165" fontId="26" fillId="0" borderId="3" xfId="2" applyNumberFormat="1" applyFont="1" applyFill="1" applyBorder="1" applyAlignment="1">
      <alignment horizontal="right" vertical="center" wrapText="1"/>
    </xf>
    <xf numFmtId="3" fontId="3" fillId="0" borderId="16" xfId="0" applyNumberFormat="1" applyFont="1" applyBorder="1" applyAlignment="1">
      <alignment horizontal="right" vertical="center" wrapText="1"/>
    </xf>
    <xf numFmtId="164" fontId="0" fillId="0" borderId="1" xfId="3" applyFont="1" applyBorder="1"/>
    <xf numFmtId="3" fontId="15" fillId="0" borderId="0" xfId="0" applyNumberFormat="1" applyFont="1"/>
    <xf numFmtId="4" fontId="15" fillId="0" borderId="0" xfId="0" applyNumberFormat="1" applyFont="1"/>
    <xf numFmtId="4" fontId="0" fillId="0" borderId="0" xfId="0" applyNumberFormat="1"/>
    <xf numFmtId="0" fontId="20" fillId="0" borderId="32" xfId="0" applyFont="1" applyBorder="1" applyAlignment="1">
      <alignment vertical="center"/>
    </xf>
    <xf numFmtId="3" fontId="7" fillId="0" borderId="33" xfId="0" applyNumberFormat="1" applyFont="1" applyBorder="1" applyAlignment="1">
      <alignment horizontal="right" vertical="center" wrapText="1"/>
    </xf>
    <xf numFmtId="0" fontId="19" fillId="0" borderId="34" xfId="0" applyFont="1" applyBorder="1" applyAlignment="1">
      <alignment vertical="center" wrapText="1"/>
    </xf>
    <xf numFmtId="0" fontId="19" fillId="0" borderId="32" xfId="0" applyFont="1" applyBorder="1" applyAlignment="1">
      <alignment vertical="center" wrapText="1"/>
    </xf>
    <xf numFmtId="0" fontId="20" fillId="0" borderId="32" xfId="0" applyFont="1" applyBorder="1" applyAlignment="1">
      <alignment vertical="center" wrapText="1"/>
    </xf>
    <xf numFmtId="0" fontId="34" fillId="0" borderId="32" xfId="0" applyFont="1" applyBorder="1" applyAlignment="1">
      <alignment vertical="top" wrapText="1"/>
    </xf>
    <xf numFmtId="0" fontId="21" fillId="0" borderId="32" xfId="0" applyFont="1" applyBorder="1" applyAlignment="1">
      <alignment vertical="top" wrapText="1"/>
    </xf>
    <xf numFmtId="0" fontId="19" fillId="9" borderId="32" xfId="0" applyFont="1" applyFill="1" applyBorder="1" applyAlignment="1">
      <alignment vertical="center" wrapText="1"/>
    </xf>
    <xf numFmtId="0" fontId="20" fillId="9" borderId="32" xfId="0" applyFont="1" applyFill="1" applyBorder="1" applyAlignment="1">
      <alignment vertical="center" wrapText="1"/>
    </xf>
    <xf numFmtId="0" fontId="82" fillId="9" borderId="32" xfId="0" applyFont="1" applyFill="1" applyBorder="1" applyAlignment="1">
      <alignment vertical="center" wrapText="1"/>
    </xf>
    <xf numFmtId="0" fontId="7" fillId="0" borderId="12" xfId="0" applyFont="1" applyBorder="1" applyAlignment="1">
      <alignment horizontal="right" vertical="center" wrapText="1"/>
    </xf>
    <xf numFmtId="3" fontId="3" fillId="0" borderId="33" xfId="0" applyNumberFormat="1" applyFont="1" applyBorder="1" applyAlignment="1">
      <alignment horizontal="right" vertical="center" wrapText="1"/>
    </xf>
    <xf numFmtId="0" fontId="7" fillId="0" borderId="33" xfId="0" applyFont="1" applyBorder="1" applyAlignment="1">
      <alignment horizontal="right" vertical="center" wrapText="1"/>
    </xf>
    <xf numFmtId="0" fontId="34" fillId="0" borderId="33" xfId="0" applyFont="1" applyBorder="1" applyAlignment="1">
      <alignment vertical="top" wrapText="1"/>
    </xf>
    <xf numFmtId="0" fontId="7" fillId="0" borderId="33" xfId="0" applyFont="1" applyBorder="1" applyAlignment="1">
      <alignment vertical="center" wrapText="1"/>
    </xf>
    <xf numFmtId="3" fontId="0" fillId="0" borderId="15" xfId="0" applyNumberFormat="1" applyBorder="1"/>
    <xf numFmtId="0" fontId="74" fillId="7" borderId="0" xfId="0" applyFont="1" applyFill="1" applyAlignment="1">
      <alignment horizontal="right" vertical="center"/>
    </xf>
    <xf numFmtId="164" fontId="74" fillId="7" borderId="0" xfId="3" applyFont="1" applyFill="1" applyBorder="1" applyAlignment="1">
      <alignment horizontal="center" vertical="center"/>
    </xf>
    <xf numFmtId="0" fontId="74" fillId="7" borderId="0" xfId="0" applyFont="1" applyFill="1" applyAlignment="1">
      <alignment horizontal="left" vertical="center"/>
    </xf>
    <xf numFmtId="165" fontId="26" fillId="0" borderId="1" xfId="2" applyNumberFormat="1" applyFont="1" applyFill="1" applyBorder="1" applyAlignment="1">
      <alignment horizontal="right" vertical="center"/>
    </xf>
    <xf numFmtId="164" fontId="74" fillId="7" borderId="0" xfId="3" applyFont="1" applyFill="1" applyAlignment="1">
      <alignment horizontal="center" vertical="center"/>
    </xf>
    <xf numFmtId="165" fontId="55" fillId="0" borderId="1" xfId="0" applyNumberFormat="1" applyFont="1" applyBorder="1" applyAlignment="1">
      <alignment horizontal="right" vertical="center" wrapText="1"/>
    </xf>
    <xf numFmtId="0" fontId="32" fillId="0" borderId="1" xfId="0" applyFont="1" applyBorder="1"/>
    <xf numFmtId="1" fontId="53" fillId="0" borderId="0" xfId="0" applyNumberFormat="1" applyFont="1" applyAlignment="1">
      <alignment horizontal="center" vertical="center"/>
    </xf>
    <xf numFmtId="0" fontId="0" fillId="0" borderId="0" xfId="0" applyAlignment="1">
      <alignment horizontal="center"/>
    </xf>
    <xf numFmtId="0" fontId="85" fillId="5" borderId="0" xfId="0" applyFont="1" applyFill="1" applyAlignment="1">
      <alignment vertical="center"/>
    </xf>
    <xf numFmtId="1" fontId="85" fillId="5" borderId="0" xfId="0" applyNumberFormat="1" applyFont="1" applyFill="1" applyAlignment="1">
      <alignment vertical="center"/>
    </xf>
    <xf numFmtId="0" fontId="0" fillId="5" borderId="0" xfId="0" applyFill="1" applyAlignment="1">
      <alignment horizontal="center"/>
    </xf>
    <xf numFmtId="0" fontId="85" fillId="0" borderId="0" xfId="0" applyFont="1" applyAlignment="1">
      <alignment vertical="center"/>
    </xf>
    <xf numFmtId="1" fontId="85" fillId="0" borderId="0" xfId="0" applyNumberFormat="1" applyFont="1" applyAlignment="1">
      <alignment vertical="center"/>
    </xf>
    <xf numFmtId="0" fontId="86" fillId="0" borderId="0" xfId="0" applyFont="1" applyAlignment="1">
      <alignment vertical="center"/>
    </xf>
    <xf numFmtId="0" fontId="86" fillId="0" borderId="0" xfId="0" applyFont="1" applyAlignment="1">
      <alignment horizontal="left" vertical="center"/>
    </xf>
    <xf numFmtId="0" fontId="16" fillId="0" borderId="0" xfId="0" applyFont="1" applyAlignment="1">
      <alignment vertical="center"/>
    </xf>
    <xf numFmtId="3" fontId="86" fillId="0" borderId="0" xfId="0" applyNumberFormat="1" applyFont="1" applyAlignment="1">
      <alignment vertical="center"/>
    </xf>
    <xf numFmtId="0" fontId="85" fillId="0" borderId="0" xfId="0" applyFont="1" applyAlignment="1">
      <alignment horizontal="left" vertical="center"/>
    </xf>
    <xf numFmtId="1" fontId="85" fillId="0" borderId="0" xfId="0" applyNumberFormat="1" applyFont="1" applyAlignment="1">
      <alignment horizontal="left" vertical="center"/>
    </xf>
    <xf numFmtId="0" fontId="86" fillId="0" borderId="0" xfId="0" applyFont="1" applyAlignment="1">
      <alignment horizontal="left" wrapText="1"/>
    </xf>
    <xf numFmtId="0" fontId="16" fillId="0" borderId="0" xfId="0" applyFont="1" applyAlignment="1">
      <alignment horizontal="left" vertical="center" indent="5"/>
    </xf>
    <xf numFmtId="0" fontId="0" fillId="0" borderId="0" xfId="0" applyAlignment="1">
      <alignment horizontal="left"/>
    </xf>
    <xf numFmtId="1" fontId="0" fillId="0" borderId="0" xfId="0" applyNumberFormat="1"/>
    <xf numFmtId="0" fontId="85" fillId="0" borderId="0" xfId="0" applyFont="1" applyAlignment="1">
      <alignment horizontal="left"/>
    </xf>
    <xf numFmtId="1" fontId="85" fillId="0" borderId="0" xfId="0" applyNumberFormat="1" applyFont="1" applyAlignment="1">
      <alignment horizontal="left"/>
    </xf>
    <xf numFmtId="0" fontId="86" fillId="0" borderId="0" xfId="0" applyFont="1"/>
    <xf numFmtId="1" fontId="86" fillId="0" borderId="0" xfId="0" applyNumberFormat="1" applyFont="1"/>
    <xf numFmtId="0" fontId="86" fillId="0" borderId="0" xfId="0" applyFont="1" applyAlignment="1">
      <alignment horizontal="left"/>
    </xf>
    <xf numFmtId="1" fontId="86" fillId="0" borderId="0" xfId="0" applyNumberFormat="1" applyFont="1" applyAlignment="1">
      <alignment horizontal="left" wrapText="1"/>
    </xf>
    <xf numFmtId="0" fontId="21" fillId="0" borderId="0" xfId="0" applyFont="1"/>
    <xf numFmtId="1" fontId="21" fillId="0" borderId="0" xfId="0" applyNumberFormat="1" applyFont="1"/>
    <xf numFmtId="0" fontId="88" fillId="0" borderId="0" xfId="0" applyFont="1"/>
    <xf numFmtId="0" fontId="90" fillId="0" borderId="0" xfId="0" applyFont="1"/>
    <xf numFmtId="4" fontId="3" fillId="0" borderId="15" xfId="0" applyNumberFormat="1" applyFont="1" applyBorder="1" applyAlignment="1">
      <alignment horizontal="right" vertical="center" wrapText="1"/>
    </xf>
    <xf numFmtId="4" fontId="3" fillId="9" borderId="16" xfId="0" applyNumberFormat="1" applyFont="1" applyFill="1" applyBorder="1" applyAlignment="1">
      <alignment horizontal="right" vertical="center" wrapText="1"/>
    </xf>
    <xf numFmtId="3" fontId="0" fillId="0" borderId="33" xfId="0" applyNumberFormat="1" applyBorder="1"/>
    <xf numFmtId="0" fontId="91" fillId="0" borderId="0" xfId="0" applyFont="1" applyAlignment="1">
      <alignment horizontal="center"/>
    </xf>
    <xf numFmtId="169" fontId="86" fillId="0" borderId="1" xfId="0" applyNumberFormat="1" applyFont="1" applyBorder="1" applyAlignment="1">
      <alignment horizontal="right" vertical="center"/>
    </xf>
    <xf numFmtId="169" fontId="86" fillId="0" borderId="0" xfId="0" applyNumberFormat="1" applyFont="1" applyAlignment="1">
      <alignment horizontal="right" vertical="center"/>
    </xf>
    <xf numFmtId="0" fontId="92" fillId="7" borderId="1" xfId="0" applyFont="1" applyFill="1" applyBorder="1" applyAlignment="1">
      <alignment horizontal="center" vertical="center" wrapText="1"/>
    </xf>
    <xf numFmtId="0" fontId="92" fillId="7" borderId="6" xfId="0" applyFont="1" applyFill="1" applyBorder="1" applyAlignment="1">
      <alignment horizontal="center" vertical="center" wrapText="1"/>
    </xf>
    <xf numFmtId="0" fontId="95" fillId="0" borderId="6" xfId="0" applyFont="1" applyBorder="1" applyAlignment="1">
      <alignment horizontal="center" vertical="center"/>
    </xf>
    <xf numFmtId="0" fontId="94" fillId="0" borderId="0" xfId="0" applyFont="1" applyAlignment="1">
      <alignment horizontal="center"/>
    </xf>
    <xf numFmtId="0" fontId="94" fillId="0" borderId="6" xfId="0" applyFont="1" applyBorder="1" applyAlignment="1">
      <alignment horizontal="center"/>
    </xf>
    <xf numFmtId="164" fontId="94" fillId="0" borderId="0" xfId="7" applyFont="1" applyBorder="1" applyAlignment="1">
      <alignment vertical="center"/>
    </xf>
    <xf numFmtId="3" fontId="94" fillId="0" borderId="0" xfId="0" applyNumberFormat="1" applyFont="1" applyAlignment="1">
      <alignment horizontal="center"/>
    </xf>
    <xf numFmtId="164" fontId="94" fillId="0" borderId="21" xfId="7" applyFont="1" applyFill="1" applyBorder="1" applyAlignment="1">
      <alignment horizontal="center"/>
    </xf>
    <xf numFmtId="10" fontId="93" fillId="0" borderId="6" xfId="8" applyNumberFormat="1" applyFont="1" applyBorder="1" applyAlignment="1">
      <alignment horizontal="center"/>
    </xf>
    <xf numFmtId="0" fontId="95" fillId="0" borderId="2" xfId="0" applyFont="1" applyBorder="1" applyAlignment="1">
      <alignment horizontal="center" vertical="center"/>
    </xf>
    <xf numFmtId="0" fontId="94" fillId="0" borderId="2" xfId="0" applyFont="1" applyBorder="1" applyAlignment="1">
      <alignment horizontal="center"/>
    </xf>
    <xf numFmtId="164" fontId="94" fillId="0" borderId="13" xfId="7" applyFont="1" applyFill="1" applyBorder="1" applyAlignment="1">
      <alignment horizontal="center"/>
    </xf>
    <xf numFmtId="0" fontId="94" fillId="0" borderId="25" xfId="0" applyFont="1" applyBorder="1" applyAlignment="1">
      <alignment horizontal="center"/>
    </xf>
    <xf numFmtId="164" fontId="94" fillId="0" borderId="25" xfId="7" applyFont="1" applyBorder="1" applyAlignment="1">
      <alignment vertical="center"/>
    </xf>
    <xf numFmtId="3" fontId="94" fillId="0" borderId="25" xfId="0" applyNumberFormat="1" applyFont="1" applyBorder="1" applyAlignment="1">
      <alignment horizontal="center"/>
    </xf>
    <xf numFmtId="0" fontId="95" fillId="0" borderId="24" xfId="0" applyFont="1" applyBorder="1" applyAlignment="1">
      <alignment horizontal="center" vertical="center"/>
    </xf>
    <xf numFmtId="0" fontId="94" fillId="0" borderId="17" xfId="0" applyFont="1" applyBorder="1" applyAlignment="1">
      <alignment horizontal="center"/>
    </xf>
    <xf numFmtId="0" fontId="94" fillId="0" borderId="24" xfId="0" applyFont="1" applyBorder="1" applyAlignment="1">
      <alignment horizontal="center"/>
    </xf>
    <xf numFmtId="164" fontId="94" fillId="0" borderId="17" xfId="7" applyFont="1" applyBorder="1" applyAlignment="1">
      <alignment vertical="center"/>
    </xf>
    <xf numFmtId="3" fontId="94" fillId="0" borderId="17" xfId="0" applyNumberFormat="1" applyFont="1" applyBorder="1" applyAlignment="1">
      <alignment horizontal="center"/>
    </xf>
    <xf numFmtId="164" fontId="94" fillId="0" borderId="28" xfId="7" applyFont="1" applyFill="1" applyBorder="1" applyAlignment="1">
      <alignment horizontal="center"/>
    </xf>
    <xf numFmtId="1" fontId="94" fillId="0" borderId="6" xfId="0" applyNumberFormat="1" applyFont="1" applyBorder="1" applyAlignment="1">
      <alignment horizontal="center"/>
    </xf>
    <xf numFmtId="1" fontId="94" fillId="0" borderId="2" xfId="0" applyNumberFormat="1" applyFont="1" applyBorder="1" applyAlignment="1">
      <alignment horizontal="center"/>
    </xf>
    <xf numFmtId="1" fontId="94" fillId="0" borderId="24" xfId="0" applyNumberFormat="1" applyFont="1" applyBorder="1" applyAlignment="1">
      <alignment horizontal="center"/>
    </xf>
    <xf numFmtId="170" fontId="95" fillId="0" borderId="6" xfId="9" applyNumberFormat="1" applyFont="1" applyFill="1" applyBorder="1" applyAlignment="1">
      <alignment horizontal="center" vertical="center"/>
    </xf>
    <xf numFmtId="170" fontId="95" fillId="0" borderId="2" xfId="9" applyNumberFormat="1" applyFont="1" applyFill="1" applyBorder="1" applyAlignment="1">
      <alignment horizontal="center" vertical="center"/>
    </xf>
    <xf numFmtId="0" fontId="95" fillId="0" borderId="2" xfId="0" applyFont="1" applyBorder="1" applyAlignment="1">
      <alignment horizontal="center"/>
    </xf>
    <xf numFmtId="170" fontId="95" fillId="0" borderId="24" xfId="9" applyNumberFormat="1" applyFont="1" applyFill="1" applyBorder="1" applyAlignment="1">
      <alignment horizontal="center" vertical="center"/>
    </xf>
    <xf numFmtId="0" fontId="94" fillId="0" borderId="35" xfId="0" applyFont="1" applyBorder="1" applyAlignment="1">
      <alignment horizontal="center"/>
    </xf>
    <xf numFmtId="0" fontId="95" fillId="0" borderId="1" xfId="0" applyFont="1" applyBorder="1" applyAlignment="1">
      <alignment horizontal="center" vertical="center"/>
    </xf>
    <xf numFmtId="0" fontId="94" fillId="0" borderId="38" xfId="0" applyFont="1" applyBorder="1" applyAlignment="1">
      <alignment horizontal="center"/>
    </xf>
    <xf numFmtId="0" fontId="94" fillId="0" borderId="1" xfId="0" applyFont="1" applyBorder="1" applyAlignment="1">
      <alignment horizontal="center"/>
    </xf>
    <xf numFmtId="164" fontId="94" fillId="0" borderId="38" xfId="7" applyFont="1" applyBorder="1" applyAlignment="1">
      <alignment vertical="center"/>
    </xf>
    <xf numFmtId="3" fontId="94" fillId="0" borderId="38" xfId="0" applyNumberFormat="1" applyFont="1" applyBorder="1" applyAlignment="1">
      <alignment horizontal="center"/>
    </xf>
    <xf numFmtId="164" fontId="94" fillId="0" borderId="35" xfId="7" applyFont="1" applyFill="1" applyBorder="1" applyAlignment="1">
      <alignment horizontal="center"/>
    </xf>
    <xf numFmtId="10" fontId="96" fillId="0" borderId="0" xfId="0" applyNumberFormat="1" applyFont="1" applyAlignment="1">
      <alignment horizontal="right"/>
    </xf>
    <xf numFmtId="0" fontId="97" fillId="7" borderId="1" xfId="0" applyFont="1" applyFill="1" applyBorder="1" applyAlignment="1">
      <alignment horizontal="center"/>
    </xf>
    <xf numFmtId="0" fontId="98" fillId="7" borderId="1" xfId="0" applyFont="1" applyFill="1" applyBorder="1" applyAlignment="1">
      <alignment horizontal="center"/>
    </xf>
    <xf numFmtId="0" fontId="99" fillId="0" borderId="1" xfId="0" applyFont="1" applyBorder="1" applyAlignment="1">
      <alignment horizontal="left"/>
    </xf>
    <xf numFmtId="164" fontId="99" fillId="0" borderId="1" xfId="7" applyFont="1" applyFill="1" applyBorder="1" applyAlignment="1">
      <alignment horizontal="right"/>
    </xf>
    <xf numFmtId="10" fontId="99" fillId="0" borderId="1" xfId="0" applyNumberFormat="1" applyFont="1" applyBorder="1" applyAlignment="1">
      <alignment horizontal="right"/>
    </xf>
    <xf numFmtId="164" fontId="99" fillId="0" borderId="1" xfId="0" applyNumberFormat="1" applyFont="1" applyBorder="1" applyAlignment="1">
      <alignment horizontal="left"/>
    </xf>
    <xf numFmtId="10" fontId="99" fillId="0" borderId="1" xfId="8" applyNumberFormat="1" applyFont="1" applyFill="1" applyBorder="1" applyAlignment="1">
      <alignment horizontal="right"/>
    </xf>
    <xf numFmtId="0" fontId="96" fillId="5" borderId="0" xfId="0" applyFont="1" applyFill="1" applyAlignment="1">
      <alignment horizontal="left"/>
    </xf>
    <xf numFmtId="164" fontId="96" fillId="5" borderId="0" xfId="0" applyNumberFormat="1" applyFont="1" applyFill="1" applyAlignment="1">
      <alignment horizontal="left"/>
    </xf>
    <xf numFmtId="10" fontId="96" fillId="5" borderId="0" xfId="0" applyNumberFormat="1" applyFont="1" applyFill="1" applyAlignment="1">
      <alignment horizontal="right"/>
    </xf>
    <xf numFmtId="0" fontId="0" fillId="0" borderId="39" xfId="0" applyBorder="1" applyAlignment="1">
      <alignment vertical="center"/>
    </xf>
    <xf numFmtId="0" fontId="15" fillId="0" borderId="6" xfId="0" applyFont="1" applyBorder="1" applyAlignment="1">
      <alignment horizontal="center"/>
    </xf>
    <xf numFmtId="0" fontId="0" fillId="0" borderId="6" xfId="0" applyBorder="1"/>
    <xf numFmtId="0" fontId="0" fillId="0" borderId="25" xfId="0" applyBorder="1"/>
    <xf numFmtId="164" fontId="94" fillId="0" borderId="26" xfId="7" applyFont="1" applyFill="1" applyBorder="1" applyAlignment="1">
      <alignment vertical="center"/>
    </xf>
    <xf numFmtId="0" fontId="0" fillId="0" borderId="6" xfId="0" applyBorder="1" applyAlignment="1">
      <alignment horizontal="center"/>
    </xf>
    <xf numFmtId="3" fontId="94" fillId="0" borderId="21" xfId="0" applyNumberFormat="1" applyFont="1" applyBorder="1" applyAlignment="1">
      <alignment horizontal="center"/>
    </xf>
    <xf numFmtId="164" fontId="94" fillId="0" borderId="6" xfId="7" applyFont="1" applyFill="1" applyBorder="1" applyAlignment="1">
      <alignment horizontal="center"/>
    </xf>
    <xf numFmtId="0" fontId="0" fillId="0" borderId="21" xfId="0" applyBorder="1" applyAlignment="1">
      <alignment vertical="center"/>
    </xf>
    <xf numFmtId="164" fontId="94" fillId="0" borderId="25" xfId="7" applyFont="1" applyFill="1" applyBorder="1" applyAlignment="1">
      <alignment vertical="center"/>
    </xf>
    <xf numFmtId="0" fontId="0" fillId="0" borderId="13" xfId="0" applyBorder="1" applyAlignment="1">
      <alignment vertical="center"/>
    </xf>
    <xf numFmtId="0" fontId="15" fillId="0" borderId="2" xfId="0" applyFont="1" applyBorder="1" applyAlignment="1">
      <alignment horizontal="center"/>
    </xf>
    <xf numFmtId="0" fontId="0" fillId="0" borderId="2" xfId="0" applyBorder="1"/>
    <xf numFmtId="0" fontId="0" fillId="0" borderId="2" xfId="0" applyBorder="1" applyAlignment="1">
      <alignment horizontal="center"/>
    </xf>
    <xf numFmtId="0" fontId="15" fillId="0" borderId="21" xfId="0" applyFont="1" applyBorder="1" applyAlignment="1">
      <alignment horizontal="center"/>
    </xf>
    <xf numFmtId="164" fontId="94" fillId="0" borderId="6" xfId="7" applyFont="1" applyFill="1" applyBorder="1" applyAlignment="1">
      <alignment vertical="center"/>
    </xf>
    <xf numFmtId="0" fontId="0" fillId="0" borderId="25" xfId="0" applyBorder="1" applyAlignment="1">
      <alignment horizontal="center"/>
    </xf>
    <xf numFmtId="3" fontId="94" fillId="0" borderId="6" xfId="0" applyNumberFormat="1" applyFont="1" applyBorder="1" applyAlignment="1">
      <alignment horizontal="center"/>
    </xf>
    <xf numFmtId="164" fontId="94" fillId="0" borderId="25" xfId="7" applyFont="1" applyFill="1" applyBorder="1" applyAlignment="1">
      <alignment horizontal="center"/>
    </xf>
    <xf numFmtId="0" fontId="15" fillId="0" borderId="13" xfId="0" applyFont="1" applyBorder="1" applyAlignment="1">
      <alignment horizontal="center"/>
    </xf>
    <xf numFmtId="164" fontId="94" fillId="0" borderId="2" xfId="7" applyFont="1" applyBorder="1" applyAlignment="1">
      <alignment vertical="center"/>
    </xf>
    <xf numFmtId="3" fontId="94" fillId="0" borderId="2" xfId="0" applyNumberFormat="1" applyFont="1" applyBorder="1" applyAlignment="1">
      <alignment horizontal="center"/>
    </xf>
    <xf numFmtId="164" fontId="94" fillId="0" borderId="0" xfId="7" applyFont="1" applyFill="1" applyBorder="1" applyAlignment="1">
      <alignment horizontal="center"/>
    </xf>
    <xf numFmtId="164" fontId="94" fillId="0" borderId="0" xfId="7" applyFont="1" applyFill="1" applyBorder="1" applyAlignment="1">
      <alignment vertical="center"/>
    </xf>
    <xf numFmtId="0" fontId="0" fillId="0" borderId="28" xfId="0" applyBorder="1" applyAlignment="1">
      <alignment vertical="center"/>
    </xf>
    <xf numFmtId="0" fontId="15" fillId="0" borderId="24" xfId="0" applyFont="1" applyBorder="1" applyAlignment="1">
      <alignment horizontal="center"/>
    </xf>
    <xf numFmtId="0" fontId="0" fillId="0" borderId="24" xfId="0" applyBorder="1"/>
    <xf numFmtId="0" fontId="0" fillId="0" borderId="17" xfId="0" applyBorder="1"/>
    <xf numFmtId="0" fontId="0" fillId="0" borderId="24" xfId="0" applyBorder="1" applyAlignment="1">
      <alignment horizontal="center"/>
    </xf>
    <xf numFmtId="0" fontId="0" fillId="0" borderId="37" xfId="0" applyBorder="1" applyAlignment="1">
      <alignment vertical="center"/>
    </xf>
    <xf numFmtId="164" fontId="94" fillId="0" borderId="2" xfId="7" applyFont="1" applyFill="1" applyBorder="1" applyAlignment="1">
      <alignment vertical="center"/>
    </xf>
    <xf numFmtId="164" fontId="94" fillId="0" borderId="2" xfId="7" applyFont="1" applyFill="1" applyBorder="1" applyAlignment="1">
      <alignment horizontal="center"/>
    </xf>
    <xf numFmtId="0" fontId="0" fillId="9" borderId="21" xfId="0" applyFill="1" applyBorder="1" applyAlignment="1">
      <alignment vertical="center"/>
    </xf>
    <xf numFmtId="0" fontId="0" fillId="9" borderId="13" xfId="0" applyFill="1" applyBorder="1" applyAlignment="1">
      <alignment vertical="center"/>
    </xf>
    <xf numFmtId="0" fontId="0" fillId="9" borderId="28" xfId="0" applyFill="1" applyBorder="1" applyAlignment="1">
      <alignment vertical="center"/>
    </xf>
    <xf numFmtId="164" fontId="94" fillId="0" borderId="24" xfId="7" applyFont="1" applyFill="1" applyBorder="1" applyAlignment="1">
      <alignment horizontal="center"/>
    </xf>
    <xf numFmtId="164" fontId="96" fillId="5" borderId="24" xfId="7" applyFont="1" applyFill="1" applyBorder="1" applyAlignment="1">
      <alignment horizontal="left"/>
    </xf>
    <xf numFmtId="164" fontId="96" fillId="5" borderId="24" xfId="0" applyNumberFormat="1" applyFont="1" applyFill="1" applyBorder="1" applyAlignment="1">
      <alignment horizontal="left"/>
    </xf>
    <xf numFmtId="9" fontId="96" fillId="5" borderId="24" xfId="8" applyFont="1" applyFill="1" applyBorder="1" applyAlignment="1">
      <alignment horizontal="center"/>
    </xf>
    <xf numFmtId="4" fontId="7" fillId="0" borderId="15" xfId="0" applyNumberFormat="1" applyFont="1" applyBorder="1" applyAlignment="1">
      <alignment horizontal="right" vertical="center" wrapText="1"/>
    </xf>
    <xf numFmtId="43" fontId="28" fillId="0" borderId="1" xfId="2" applyFont="1" applyBorder="1" applyAlignment="1">
      <alignment horizontal="right" vertical="center"/>
    </xf>
    <xf numFmtId="4" fontId="22" fillId="0" borderId="1" xfId="0" applyNumberFormat="1" applyFont="1" applyBorder="1" applyAlignment="1">
      <alignment horizontal="right" vertical="center" wrapText="1"/>
    </xf>
    <xf numFmtId="4" fontId="24" fillId="0" borderId="1" xfId="3" applyNumberFormat="1" applyFont="1" applyBorder="1" applyAlignment="1">
      <alignment horizontal="right" vertical="center" wrapText="1"/>
    </xf>
    <xf numFmtId="43" fontId="26" fillId="0" borderId="1" xfId="2" applyFont="1" applyBorder="1" applyAlignment="1">
      <alignment horizontal="right" vertical="center"/>
    </xf>
    <xf numFmtId="49" fontId="29" fillId="0" borderId="4" xfId="0" applyNumberFormat="1" applyFont="1" applyBorder="1" applyAlignment="1">
      <alignment vertical="center"/>
    </xf>
    <xf numFmtId="3" fontId="32" fillId="0" borderId="1" xfId="0" applyNumberFormat="1" applyFont="1" applyBorder="1"/>
    <xf numFmtId="4" fontId="32" fillId="0" borderId="0" xfId="0" applyNumberFormat="1" applyFont="1"/>
    <xf numFmtId="4" fontId="0" fillId="0" borderId="0" xfId="0" applyNumberFormat="1" applyAlignment="1">
      <alignment wrapText="1"/>
    </xf>
    <xf numFmtId="165" fontId="26" fillId="0" borderId="1" xfId="2" applyNumberFormat="1" applyFont="1" applyFill="1" applyBorder="1" applyAlignment="1">
      <alignment horizontal="right" vertical="center" wrapText="1"/>
    </xf>
    <xf numFmtId="3" fontId="10" fillId="0" borderId="1" xfId="0" applyNumberFormat="1" applyFont="1" applyBorder="1" applyAlignment="1">
      <alignment horizontal="right" vertical="center" wrapText="1"/>
    </xf>
    <xf numFmtId="3" fontId="24" fillId="0" borderId="1" xfId="0" applyNumberFormat="1" applyFont="1" applyBorder="1" applyAlignment="1">
      <alignment horizontal="right" vertical="center" wrapText="1"/>
    </xf>
    <xf numFmtId="0" fontId="58" fillId="0" borderId="1" xfId="0" applyFont="1" applyBorder="1"/>
    <xf numFmtId="0" fontId="15" fillId="0" borderId="1" xfId="0" applyFont="1" applyBorder="1"/>
    <xf numFmtId="14" fontId="83" fillId="0" borderId="1" xfId="0" applyNumberFormat="1" applyFont="1" applyBorder="1"/>
    <xf numFmtId="168" fontId="15" fillId="0" borderId="1" xfId="0" applyNumberFormat="1" applyFont="1" applyBorder="1"/>
    <xf numFmtId="3" fontId="15" fillId="0" borderId="1" xfId="0" applyNumberFormat="1" applyFont="1" applyBorder="1" applyAlignment="1">
      <alignment horizontal="right"/>
    </xf>
    <xf numFmtId="0" fontId="46" fillId="0" borderId="1" xfId="0" applyFont="1" applyBorder="1" applyAlignment="1">
      <alignment vertical="center"/>
    </xf>
    <xf numFmtId="3" fontId="46" fillId="0" borderId="1" xfId="0" applyNumberFormat="1" applyFont="1" applyBorder="1" applyAlignment="1">
      <alignment horizontal="right" vertical="center"/>
    </xf>
    <xf numFmtId="0" fontId="47" fillId="0" borderId="1" xfId="0" applyFont="1" applyBorder="1" applyAlignment="1">
      <alignment vertical="center"/>
    </xf>
    <xf numFmtId="3" fontId="48" fillId="0" borderId="1" xfId="0" applyNumberFormat="1" applyFont="1" applyBorder="1" applyAlignment="1">
      <alignment horizontal="right" vertical="center"/>
    </xf>
    <xf numFmtId="0" fontId="49" fillId="0" borderId="1" xfId="0" applyFont="1" applyBorder="1" applyAlignment="1">
      <alignment vertical="center"/>
    </xf>
    <xf numFmtId="3" fontId="49" fillId="0" borderId="1" xfId="0" applyNumberFormat="1" applyFont="1" applyBorder="1" applyAlignment="1">
      <alignment horizontal="right" vertical="center"/>
    </xf>
    <xf numFmtId="0" fontId="48" fillId="0" borderId="1" xfId="0" applyFont="1" applyBorder="1" applyAlignment="1">
      <alignment vertical="center"/>
    </xf>
    <xf numFmtId="3" fontId="11" fillId="0" borderId="1" xfId="0" applyNumberFormat="1" applyFont="1" applyBorder="1" applyAlignment="1">
      <alignment horizontal="right" vertical="center"/>
    </xf>
    <xf numFmtId="4" fontId="46" fillId="0" borderId="1" xfId="0" applyNumberFormat="1" applyFont="1" applyBorder="1" applyAlignment="1">
      <alignment horizontal="right" vertical="center"/>
    </xf>
    <xf numFmtId="171" fontId="0" fillId="0" borderId="0" xfId="3" applyNumberFormat="1" applyFont="1"/>
    <xf numFmtId="164" fontId="15" fillId="0" borderId="0" xfId="0" applyNumberFormat="1" applyFont="1"/>
    <xf numFmtId="172" fontId="0" fillId="0" borderId="0" xfId="0" applyNumberFormat="1"/>
    <xf numFmtId="4" fontId="0" fillId="0" borderId="1" xfId="0" applyNumberFormat="1" applyBorder="1"/>
    <xf numFmtId="4" fontId="22" fillId="0" borderId="1" xfId="2" applyNumberFormat="1" applyFont="1" applyBorder="1" applyAlignment="1">
      <alignment horizontal="right" vertical="center"/>
    </xf>
    <xf numFmtId="173" fontId="7" fillId="0" borderId="15" xfId="0" applyNumberFormat="1" applyFont="1" applyBorder="1" applyAlignment="1">
      <alignment horizontal="right" vertical="center" wrapText="1"/>
    </xf>
    <xf numFmtId="0" fontId="96" fillId="5" borderId="28" xfId="0" applyFont="1" applyFill="1" applyBorder="1" applyAlignment="1">
      <alignment horizontal="center"/>
    </xf>
    <xf numFmtId="0" fontId="96" fillId="5" borderId="17" xfId="0" applyFont="1" applyFill="1" applyBorder="1" applyAlignment="1">
      <alignment horizontal="center"/>
    </xf>
    <xf numFmtId="0" fontId="96" fillId="5" borderId="29" xfId="0" applyFont="1" applyFill="1" applyBorder="1" applyAlignment="1">
      <alignment horizontal="center"/>
    </xf>
    <xf numFmtId="0" fontId="58" fillId="0" borderId="0" xfId="0" applyFont="1" applyAlignment="1">
      <alignment horizontal="left" vertical="center" wrapText="1"/>
    </xf>
    <xf numFmtId="0" fontId="60" fillId="0" borderId="0" xfId="0" applyFont="1" applyAlignment="1">
      <alignment horizontal="left" vertical="center"/>
    </xf>
    <xf numFmtId="0" fontId="63" fillId="0" borderId="0" xfId="0" applyFont="1" applyAlignment="1">
      <alignment horizontal="justify"/>
    </xf>
    <xf numFmtId="0" fontId="58" fillId="0" borderId="0" xfId="0" applyFont="1" applyAlignment="1">
      <alignment horizontal="left" vertical="center"/>
    </xf>
    <xf numFmtId="0" fontId="70" fillId="7" borderId="13" xfId="0" applyFont="1" applyFill="1" applyBorder="1" applyAlignment="1">
      <alignment horizontal="center" wrapText="1"/>
    </xf>
    <xf numFmtId="0" fontId="70" fillId="7" borderId="0" xfId="0" applyFont="1" applyFill="1" applyAlignment="1">
      <alignment horizontal="center" wrapText="1"/>
    </xf>
    <xf numFmtId="0" fontId="84" fillId="7" borderId="13" xfId="0" applyFont="1" applyFill="1" applyBorder="1" applyAlignment="1">
      <alignment horizontal="center"/>
    </xf>
    <xf numFmtId="0" fontId="84" fillId="7" borderId="0" xfId="0" applyFont="1" applyFill="1" applyAlignment="1">
      <alignment horizontal="center"/>
    </xf>
    <xf numFmtId="0" fontId="85" fillId="0" borderId="0" xfId="0" applyFont="1" applyAlignment="1">
      <alignment horizontal="center"/>
    </xf>
    <xf numFmtId="0" fontId="19" fillId="9" borderId="0" xfId="0" applyFont="1" applyFill="1" applyAlignment="1">
      <alignment horizontal="left" vertical="top" wrapText="1"/>
    </xf>
    <xf numFmtId="0" fontId="20" fillId="9" borderId="0" xfId="0" applyFont="1" applyFill="1" applyAlignment="1">
      <alignment horizontal="left" vertical="top" wrapText="1"/>
    </xf>
    <xf numFmtId="0" fontId="86" fillId="0" borderId="0" xfId="0" applyFont="1" applyAlignment="1">
      <alignment horizontal="left"/>
    </xf>
    <xf numFmtId="0" fontId="86" fillId="0" borderId="0" xfId="0" applyFont="1" applyAlignment="1">
      <alignment horizontal="left" wrapText="1"/>
    </xf>
    <xf numFmtId="0" fontId="74" fillId="7" borderId="1" xfId="0" applyFont="1" applyFill="1" applyBorder="1" applyAlignment="1">
      <alignment horizontal="center" vertical="center" wrapText="1"/>
    </xf>
    <xf numFmtId="0" fontId="74" fillId="7" borderId="1" xfId="0" applyFont="1" applyFill="1" applyBorder="1" applyAlignment="1">
      <alignment horizontal="center" vertical="center"/>
    </xf>
    <xf numFmtId="0" fontId="74" fillId="7" borderId="11" xfId="0" applyFont="1" applyFill="1" applyBorder="1" applyAlignment="1">
      <alignment horizontal="center" vertical="center" wrapText="1"/>
    </xf>
    <xf numFmtId="0" fontId="74" fillId="7" borderId="16" xfId="0" applyFont="1" applyFill="1" applyBorder="1" applyAlignment="1">
      <alignment horizontal="center" vertical="center" wrapText="1"/>
    </xf>
    <xf numFmtId="0" fontId="74" fillId="8" borderId="6" xfId="0" applyFont="1" applyFill="1" applyBorder="1" applyAlignment="1">
      <alignment horizontal="center" vertical="center" wrapText="1"/>
    </xf>
    <xf numFmtId="0" fontId="74" fillId="8" borderId="24" xfId="0" applyFont="1" applyFill="1" applyBorder="1" applyAlignment="1">
      <alignment horizontal="center" vertical="center" wrapText="1"/>
    </xf>
    <xf numFmtId="0" fontId="60" fillId="0" borderId="0" xfId="0" applyFont="1" applyAlignment="1">
      <alignment horizontal="left" vertical="center" wrapText="1"/>
    </xf>
    <xf numFmtId="0" fontId="76" fillId="7" borderId="30" xfId="0" applyFont="1" applyFill="1" applyBorder="1" applyAlignment="1">
      <alignment horizontal="center" vertical="center"/>
    </xf>
    <xf numFmtId="0" fontId="58" fillId="0" borderId="0" xfId="0" applyFont="1" applyAlignment="1">
      <alignment horizontal="left" wrapText="1"/>
    </xf>
    <xf numFmtId="0" fontId="72" fillId="7" borderId="1" xfId="0" applyFont="1" applyFill="1" applyBorder="1" applyAlignment="1">
      <alignment horizontal="center" vertical="center"/>
    </xf>
    <xf numFmtId="0" fontId="72" fillId="7" borderId="1" xfId="0" applyFont="1" applyFill="1" applyBorder="1" applyAlignment="1">
      <alignment horizontal="center" vertical="center" wrapText="1"/>
    </xf>
    <xf numFmtId="0" fontId="75" fillId="7" borderId="1" xfId="0" applyFont="1" applyFill="1" applyBorder="1" applyAlignment="1">
      <alignment horizontal="center" vertical="center"/>
    </xf>
    <xf numFmtId="0" fontId="76" fillId="7" borderId="1" xfId="0" applyFont="1" applyFill="1" applyBorder="1" applyAlignment="1">
      <alignment horizontal="justify" vertical="center" wrapText="1"/>
    </xf>
    <xf numFmtId="0" fontId="77" fillId="7" borderId="1" xfId="0" applyFont="1" applyFill="1" applyBorder="1" applyAlignment="1">
      <alignment horizontal="center" vertical="center" wrapText="1"/>
    </xf>
    <xf numFmtId="0" fontId="77" fillId="7" borderId="6" xfId="0" applyFont="1" applyFill="1" applyBorder="1" applyAlignment="1">
      <alignment horizontal="center" vertical="center" wrapText="1"/>
    </xf>
    <xf numFmtId="0" fontId="77" fillId="7" borderId="2" xfId="0" applyFont="1" applyFill="1" applyBorder="1" applyAlignment="1">
      <alignment horizontal="center" vertical="center" wrapText="1"/>
    </xf>
    <xf numFmtId="0" fontId="77" fillId="7" borderId="24" xfId="0" applyFont="1" applyFill="1" applyBorder="1" applyAlignment="1">
      <alignment horizontal="center" vertical="center" wrapText="1"/>
    </xf>
    <xf numFmtId="0" fontId="61" fillId="0" borderId="0" xfId="0" applyFont="1" applyAlignment="1">
      <alignment horizontal="left" vertical="center"/>
    </xf>
    <xf numFmtId="0" fontId="26" fillId="3" borderId="1" xfId="0" applyFont="1" applyFill="1" applyBorder="1" applyAlignment="1">
      <alignment horizontal="center" vertical="center" wrapText="1"/>
    </xf>
    <xf numFmtId="0" fontId="74" fillId="7" borderId="1" xfId="0" applyFont="1" applyFill="1" applyBorder="1" applyAlignment="1">
      <alignment vertical="center" wrapText="1"/>
    </xf>
    <xf numFmtId="0" fontId="26" fillId="0" borderId="1" xfId="0" applyFont="1" applyBorder="1" applyAlignment="1">
      <alignment vertical="center" wrapText="1"/>
    </xf>
    <xf numFmtId="0" fontId="87" fillId="0" borderId="0" xfId="0" applyFont="1" applyAlignment="1">
      <alignment horizontal="left" vertical="center" wrapText="1"/>
    </xf>
    <xf numFmtId="0" fontId="85" fillId="0" borderId="0" xfId="0" applyFont="1" applyAlignment="1">
      <alignment horizontal="left"/>
    </xf>
    <xf numFmtId="0" fontId="89" fillId="0" borderId="0" xfId="0" applyFont="1" applyAlignment="1">
      <alignment horizontal="left" vertical="center"/>
    </xf>
    <xf numFmtId="0" fontId="90" fillId="0" borderId="0" xfId="0" applyFont="1" applyAlignment="1">
      <alignment horizontal="left"/>
    </xf>
    <xf numFmtId="0" fontId="94" fillId="0" borderId="37" xfId="0" applyFont="1" applyBorder="1" applyAlignment="1">
      <alignment horizontal="center" vertical="top"/>
    </xf>
    <xf numFmtId="0" fontId="94" fillId="0" borderId="6" xfId="0" applyFont="1" applyBorder="1" applyAlignment="1">
      <alignment horizontal="center" vertical="top"/>
    </xf>
    <xf numFmtId="0" fontId="94" fillId="0" borderId="2" xfId="0" applyFont="1" applyBorder="1" applyAlignment="1">
      <alignment horizontal="center" vertical="top"/>
    </xf>
    <xf numFmtId="0" fontId="94" fillId="0" borderId="24" xfId="0" applyFont="1" applyBorder="1" applyAlignment="1">
      <alignment horizontal="center" vertical="top"/>
    </xf>
    <xf numFmtId="0" fontId="94" fillId="0" borderId="21" xfId="0" applyFont="1" applyBorder="1" applyAlignment="1">
      <alignment horizontal="center" vertical="top"/>
    </xf>
    <xf numFmtId="0" fontId="94" fillId="0" borderId="13" xfId="0" applyFont="1" applyBorder="1" applyAlignment="1">
      <alignment horizontal="center" vertical="top"/>
    </xf>
    <xf numFmtId="0" fontId="94" fillId="0" borderId="28" xfId="0" applyFont="1" applyBorder="1" applyAlignment="1">
      <alignment horizontal="center" vertical="top"/>
    </xf>
    <xf numFmtId="0" fontId="86" fillId="0" borderId="0" xfId="0" applyFont="1" applyAlignment="1">
      <alignment horizontal="left" vertical="center" wrapText="1"/>
    </xf>
    <xf numFmtId="0" fontId="86" fillId="0" borderId="35" xfId="0" applyFont="1" applyBorder="1" applyAlignment="1">
      <alignment horizontal="left"/>
    </xf>
    <xf numFmtId="0" fontId="86" fillId="0" borderId="36" xfId="0" applyFont="1" applyBorder="1" applyAlignment="1">
      <alignment horizontal="left"/>
    </xf>
    <xf numFmtId="0" fontId="0" fillId="0" borderId="36" xfId="0" applyBorder="1" applyAlignment="1">
      <alignment horizontal="left"/>
    </xf>
    <xf numFmtId="0" fontId="69" fillId="6" borderId="21" xfId="0" applyFont="1" applyFill="1" applyBorder="1" applyAlignment="1">
      <alignment horizontal="center" vertical="center" wrapText="1"/>
    </xf>
    <xf numFmtId="0" fontId="57" fillId="6" borderId="25" xfId="0" applyFont="1" applyFill="1" applyBorder="1" applyAlignment="1">
      <alignment horizontal="center" vertical="center"/>
    </xf>
    <xf numFmtId="0" fontId="57" fillId="6" borderId="26" xfId="0" applyFont="1" applyFill="1" applyBorder="1" applyAlignment="1">
      <alignment horizontal="center" vertical="center"/>
    </xf>
    <xf numFmtId="0" fontId="57" fillId="6" borderId="13" xfId="0" applyFont="1" applyFill="1" applyBorder="1" applyAlignment="1">
      <alignment horizontal="center" vertical="center"/>
    </xf>
    <xf numFmtId="0" fontId="57" fillId="6" borderId="0" xfId="0" applyFont="1" applyFill="1" applyAlignment="1">
      <alignment horizontal="center" vertical="center"/>
    </xf>
    <xf numFmtId="0" fontId="57" fillId="6" borderId="27" xfId="0" applyFont="1" applyFill="1" applyBorder="1" applyAlignment="1">
      <alignment horizontal="center" vertical="center"/>
    </xf>
    <xf numFmtId="0" fontId="57" fillId="6" borderId="28" xfId="0" applyFont="1" applyFill="1" applyBorder="1" applyAlignment="1">
      <alignment horizontal="center" vertical="center"/>
    </xf>
    <xf numFmtId="0" fontId="57" fillId="6" borderId="17" xfId="0" applyFont="1" applyFill="1" applyBorder="1" applyAlignment="1">
      <alignment horizontal="center" vertical="center"/>
    </xf>
    <xf numFmtId="0" fontId="57" fillId="6" borderId="29" xfId="0" applyFont="1" applyFill="1" applyBorder="1" applyAlignment="1">
      <alignment horizontal="center" vertical="center"/>
    </xf>
    <xf numFmtId="0" fontId="52" fillId="0" borderId="0" xfId="0" applyFont="1" applyAlignment="1">
      <alignment horizontal="center" vertical="center" wrapText="1"/>
    </xf>
    <xf numFmtId="0" fontId="80" fillId="7" borderId="22" xfId="0" applyFont="1" applyFill="1" applyBorder="1" applyAlignment="1">
      <alignment horizontal="center" vertical="center" wrapText="1"/>
    </xf>
    <xf numFmtId="0" fontId="80" fillId="7" borderId="23" xfId="0" applyFont="1" applyFill="1" applyBorder="1" applyAlignment="1">
      <alignment horizontal="center" vertical="center" wrapText="1"/>
    </xf>
    <xf numFmtId="3" fontId="80" fillId="7" borderId="22" xfId="0" applyNumberFormat="1" applyFont="1" applyFill="1" applyBorder="1" applyAlignment="1">
      <alignment horizontal="center" vertical="center" wrapText="1"/>
    </xf>
    <xf numFmtId="3" fontId="80" fillId="7" borderId="23" xfId="0" applyNumberFormat="1" applyFont="1" applyFill="1" applyBorder="1" applyAlignment="1">
      <alignment horizontal="center" vertical="center" wrapText="1"/>
    </xf>
    <xf numFmtId="0" fontId="81" fillId="7" borderId="20" xfId="0" applyFont="1" applyFill="1" applyBorder="1" applyAlignment="1">
      <alignment vertical="center" wrapText="1"/>
    </xf>
    <xf numFmtId="0" fontId="81" fillId="7" borderId="1" xfId="0" applyFont="1" applyFill="1" applyBorder="1" applyAlignment="1">
      <alignment vertical="center" wrapText="1"/>
    </xf>
    <xf numFmtId="0" fontId="79" fillId="7" borderId="20" xfId="0" applyFont="1" applyFill="1" applyBorder="1" applyAlignment="1">
      <alignment horizontal="center" vertical="center" wrapText="1"/>
    </xf>
    <xf numFmtId="0" fontId="79" fillId="7" borderId="1" xfId="0" applyFont="1" applyFill="1" applyBorder="1" applyAlignment="1">
      <alignment horizontal="center" vertical="center" wrapText="1"/>
    </xf>
    <xf numFmtId="0" fontId="79" fillId="7" borderId="18" xfId="0" applyFont="1" applyFill="1" applyBorder="1" applyAlignment="1">
      <alignment horizontal="center" vertical="center" wrapText="1"/>
    </xf>
    <xf numFmtId="0" fontId="79" fillId="7" borderId="5" xfId="0" applyFont="1" applyFill="1" applyBorder="1" applyAlignment="1">
      <alignment horizontal="center" vertical="center" wrapText="1"/>
    </xf>
    <xf numFmtId="0" fontId="19" fillId="0" borderId="11" xfId="0" applyFont="1" applyBorder="1" applyAlignment="1">
      <alignment vertical="center" wrapText="1"/>
    </xf>
    <xf numFmtId="0" fontId="19" fillId="0" borderId="16" xfId="0" applyFont="1" applyBorder="1" applyAlignment="1">
      <alignment vertical="center" wrapText="1"/>
    </xf>
    <xf numFmtId="4" fontId="3" fillId="0" borderId="15" xfId="0" applyNumberFormat="1" applyFont="1" applyBorder="1" applyAlignment="1">
      <alignment horizontal="right" vertical="center" wrapText="1"/>
    </xf>
    <xf numFmtId="4" fontId="3" fillId="0" borderId="16" xfId="0" applyNumberFormat="1" applyFont="1" applyBorder="1" applyAlignment="1">
      <alignment horizontal="right" vertical="center" wrapText="1"/>
    </xf>
    <xf numFmtId="3" fontId="3" fillId="0" borderId="11" xfId="0" applyNumberFormat="1" applyFont="1" applyBorder="1" applyAlignment="1">
      <alignment horizontal="right" vertical="center" wrapText="1"/>
    </xf>
    <xf numFmtId="3" fontId="3" fillId="0" borderId="16" xfId="0" applyNumberFormat="1" applyFont="1" applyBorder="1" applyAlignment="1">
      <alignment horizontal="right" vertical="center" wrapText="1"/>
    </xf>
    <xf numFmtId="0" fontId="3" fillId="0" borderId="11" xfId="0" applyFont="1" applyBorder="1" applyAlignment="1">
      <alignment horizontal="left" vertical="center" wrapText="1"/>
    </xf>
    <xf numFmtId="0" fontId="3" fillId="0" borderId="16" xfId="0" applyFont="1" applyBorder="1" applyAlignment="1">
      <alignment horizontal="left" vertical="center" wrapText="1"/>
    </xf>
    <xf numFmtId="4" fontId="3" fillId="9" borderId="11" xfId="0" applyNumberFormat="1" applyFont="1" applyFill="1" applyBorder="1" applyAlignment="1">
      <alignment horizontal="right" vertical="center" wrapText="1"/>
    </xf>
    <xf numFmtId="4" fontId="3" fillId="9" borderId="16" xfId="0" applyNumberFormat="1" applyFont="1" applyFill="1" applyBorder="1" applyAlignment="1">
      <alignment horizontal="right" vertical="center" wrapText="1"/>
    </xf>
    <xf numFmtId="3" fontId="3" fillId="9" borderId="11" xfId="0" applyNumberFormat="1" applyFont="1" applyFill="1" applyBorder="1" applyAlignment="1">
      <alignment horizontal="right" vertical="center" wrapText="1"/>
    </xf>
    <xf numFmtId="3" fontId="3" fillId="9" borderId="16" xfId="0" applyNumberFormat="1" applyFont="1" applyFill="1" applyBorder="1" applyAlignment="1">
      <alignment horizontal="right" vertical="center" wrapText="1"/>
    </xf>
    <xf numFmtId="0" fontId="81" fillId="7" borderId="19" xfId="0" applyFont="1" applyFill="1" applyBorder="1" applyAlignment="1">
      <alignment vertical="center" wrapText="1"/>
    </xf>
    <xf numFmtId="0" fontId="81" fillId="7" borderId="4" xfId="0" applyFont="1" applyFill="1" applyBorder="1" applyAlignment="1">
      <alignment vertical="center" wrapText="1"/>
    </xf>
    <xf numFmtId="3" fontId="79" fillId="7" borderId="20" xfId="0" applyNumberFormat="1" applyFont="1" applyFill="1" applyBorder="1" applyAlignment="1">
      <alignment horizontal="center" vertical="center" wrapText="1"/>
    </xf>
    <xf numFmtId="3" fontId="79" fillId="7" borderId="1" xfId="0" applyNumberFormat="1" applyFont="1" applyFill="1" applyBorder="1" applyAlignment="1">
      <alignment horizontal="center" vertical="center" wrapText="1"/>
    </xf>
    <xf numFmtId="0" fontId="58" fillId="5" borderId="0" xfId="0" applyFont="1" applyFill="1" applyAlignment="1">
      <alignment horizontal="left" vertical="center"/>
    </xf>
    <xf numFmtId="0" fontId="22" fillId="0" borderId="0" xfId="0" applyFont="1" applyAlignment="1">
      <alignment horizontal="center" vertical="center" wrapText="1"/>
    </xf>
    <xf numFmtId="0" fontId="18" fillId="0" borderId="0" xfId="0" applyFont="1" applyAlignment="1">
      <alignment horizontal="center" vertical="center"/>
    </xf>
    <xf numFmtId="0" fontId="28" fillId="0" borderId="0" xfId="0" applyFont="1" applyAlignment="1">
      <alignment horizontal="center" vertical="center"/>
    </xf>
    <xf numFmtId="0" fontId="54" fillId="0" borderId="0" xfId="0" applyFont="1" applyAlignment="1">
      <alignment horizontal="center" vertical="center"/>
    </xf>
    <xf numFmtId="0" fontId="55" fillId="0" borderId="0" xfId="0" applyFont="1" applyAlignment="1">
      <alignment horizontal="center" vertical="center"/>
    </xf>
    <xf numFmtId="0" fontId="22" fillId="0" borderId="0" xfId="0" applyFont="1" applyAlignment="1">
      <alignment horizontal="center" vertical="center"/>
    </xf>
    <xf numFmtId="0" fontId="30" fillId="0" borderId="1" xfId="0" applyFont="1" applyBorder="1" applyAlignment="1">
      <alignment vertical="center" wrapText="1"/>
    </xf>
    <xf numFmtId="3" fontId="30" fillId="0" borderId="1" xfId="0" applyNumberFormat="1" applyFont="1" applyBorder="1" applyAlignment="1">
      <alignment horizontal="right" vertical="center"/>
    </xf>
  </cellXfs>
  <cellStyles count="10">
    <cellStyle name="Énfasis6" xfId="9" builtinId="49"/>
    <cellStyle name="Excel Built-in Normal" xfId="1" xr:uid="{00000000-0005-0000-0000-000001000000}"/>
    <cellStyle name="Millares" xfId="2" builtinId="3"/>
    <cellStyle name="Millares [0]" xfId="3" builtinId="6"/>
    <cellStyle name="Millares [0] 2" xfId="7" xr:uid="{00000000-0005-0000-0000-000004000000}"/>
    <cellStyle name="Millares 2" xfId="4" xr:uid="{00000000-0005-0000-0000-000005000000}"/>
    <cellStyle name="Millares 3" xfId="5" xr:uid="{00000000-0005-0000-0000-000006000000}"/>
    <cellStyle name="Normal" xfId="0" builtinId="0"/>
    <cellStyle name="Normal 2" xfId="6" xr:uid="{00000000-0005-0000-0000-000008000000}"/>
    <cellStyle name="Porcentaje" xfId="8" builtin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300789</xdr:colOff>
      <xdr:row>6</xdr:row>
      <xdr:rowOff>150395</xdr:rowOff>
    </xdr:from>
    <xdr:to>
      <xdr:col>5</xdr:col>
      <xdr:colOff>886326</xdr:colOff>
      <xdr:row>11</xdr:row>
      <xdr:rowOff>34190</xdr:rowOff>
    </xdr:to>
    <xdr:pic>
      <xdr:nvPicPr>
        <xdr:cNvPr id="5" name="Imagen 4">
          <a:extLst>
            <a:ext uri="{FF2B5EF4-FFF2-40B4-BE49-F238E27FC236}">
              <a16:creationId xmlns:a16="http://schemas.microsoft.com/office/drawing/2014/main" id="{90E2FC42-CFBE-440B-9A4C-AF50D9044B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842" y="1283369"/>
          <a:ext cx="3543300" cy="8362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2333625</xdr:colOff>
      <xdr:row>2</xdr:row>
      <xdr:rowOff>184847</xdr:rowOff>
    </xdr:to>
    <xdr:pic>
      <xdr:nvPicPr>
        <xdr:cNvPr id="2" name="Imagen 1">
          <a:extLst>
            <a:ext uri="{FF2B5EF4-FFF2-40B4-BE49-F238E27FC236}">
              <a16:creationId xmlns:a16="http://schemas.microsoft.com/office/drawing/2014/main" id="{6735D0C1-38B9-4418-BD57-B213AE02BB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4" y="0"/>
          <a:ext cx="2333625" cy="558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2333625</xdr:colOff>
      <xdr:row>2</xdr:row>
      <xdr:rowOff>184847</xdr:rowOff>
    </xdr:to>
    <xdr:pic>
      <xdr:nvPicPr>
        <xdr:cNvPr id="2" name="Imagen 1">
          <a:extLst>
            <a:ext uri="{FF2B5EF4-FFF2-40B4-BE49-F238E27FC236}">
              <a16:creationId xmlns:a16="http://schemas.microsoft.com/office/drawing/2014/main" id="{6C4F140D-656D-478F-95B1-D2FE1538DF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4" y="0"/>
          <a:ext cx="2333625" cy="558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2333625</xdr:colOff>
      <xdr:row>3</xdr:row>
      <xdr:rowOff>184847</xdr:rowOff>
    </xdr:to>
    <xdr:pic>
      <xdr:nvPicPr>
        <xdr:cNvPr id="2" name="Imagen 1">
          <a:extLst>
            <a:ext uri="{FF2B5EF4-FFF2-40B4-BE49-F238E27FC236}">
              <a16:creationId xmlns:a16="http://schemas.microsoft.com/office/drawing/2014/main" id="{E3C6F7C0-BA7C-4B78-AEEA-9E226FEF2D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0" y="186765"/>
          <a:ext cx="2333625" cy="558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1614581</xdr:colOff>
      <xdr:row>2</xdr:row>
      <xdr:rowOff>184847</xdr:rowOff>
    </xdr:to>
    <xdr:pic>
      <xdr:nvPicPr>
        <xdr:cNvPr id="2" name="Imagen 1">
          <a:extLst>
            <a:ext uri="{FF2B5EF4-FFF2-40B4-BE49-F238E27FC236}">
              <a16:creationId xmlns:a16="http://schemas.microsoft.com/office/drawing/2014/main" id="{03587342-1829-4344-9F1A-88FCA2A4A6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33625" cy="558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2329815</xdr:colOff>
      <xdr:row>2</xdr:row>
      <xdr:rowOff>179132</xdr:rowOff>
    </xdr:to>
    <xdr:pic>
      <xdr:nvPicPr>
        <xdr:cNvPr id="2" name="Imagen 1">
          <a:extLst>
            <a:ext uri="{FF2B5EF4-FFF2-40B4-BE49-F238E27FC236}">
              <a16:creationId xmlns:a16="http://schemas.microsoft.com/office/drawing/2014/main" id="{779638B4-D264-4832-A782-26C0E77B8A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176" y="0"/>
          <a:ext cx="2333625" cy="558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C4:G26"/>
  <sheetViews>
    <sheetView showGridLines="0" zoomScale="95" zoomScaleNormal="95" workbookViewId="0">
      <selection activeCell="A2" sqref="A2"/>
    </sheetView>
  </sheetViews>
  <sheetFormatPr baseColWidth="10" defaultColWidth="10.7109375" defaultRowHeight="15"/>
  <cols>
    <col min="1" max="1" width="1.5703125" customWidth="1"/>
    <col min="2" max="2" width="2" customWidth="1"/>
    <col min="3" max="3" width="14" customWidth="1"/>
    <col min="4" max="4" width="20.5703125" customWidth="1"/>
    <col min="5" max="5" width="23.7109375" customWidth="1"/>
    <col min="6" max="6" width="36.28515625" customWidth="1"/>
    <col min="7" max="7" width="25.5703125" hidden="1" customWidth="1"/>
  </cols>
  <sheetData>
    <row r="4" spans="3:7" ht="14.65" customHeight="1">
      <c r="C4" s="467" t="s">
        <v>371</v>
      </c>
      <c r="D4" s="468"/>
      <c r="E4" s="468"/>
      <c r="F4" s="468"/>
      <c r="G4" s="469"/>
    </row>
    <row r="5" spans="3:7">
      <c r="C5" s="470"/>
      <c r="D5" s="471"/>
      <c r="E5" s="471"/>
      <c r="F5" s="471"/>
      <c r="G5" s="472"/>
    </row>
    <row r="6" spans="3:7">
      <c r="C6" s="470"/>
      <c r="D6" s="471"/>
      <c r="E6" s="471"/>
      <c r="F6" s="471"/>
      <c r="G6" s="472"/>
    </row>
    <row r="7" spans="3:7">
      <c r="C7" s="470"/>
      <c r="D7" s="471"/>
      <c r="E7" s="471"/>
      <c r="F7" s="471"/>
      <c r="G7" s="472"/>
    </row>
    <row r="8" spans="3:7">
      <c r="C8" s="470"/>
      <c r="D8" s="471"/>
      <c r="E8" s="471"/>
      <c r="F8" s="471"/>
      <c r="G8" s="472"/>
    </row>
    <row r="9" spans="3:7">
      <c r="C9" s="470"/>
      <c r="D9" s="471"/>
      <c r="E9" s="471"/>
      <c r="F9" s="471"/>
      <c r="G9" s="472"/>
    </row>
    <row r="10" spans="3:7">
      <c r="C10" s="470"/>
      <c r="D10" s="471"/>
      <c r="E10" s="471"/>
      <c r="F10" s="471"/>
      <c r="G10" s="472"/>
    </row>
    <row r="11" spans="3:7">
      <c r="C11" s="470"/>
      <c r="D11" s="471"/>
      <c r="E11" s="471"/>
      <c r="F11" s="471"/>
      <c r="G11" s="472"/>
    </row>
    <row r="12" spans="3:7">
      <c r="C12" s="470"/>
      <c r="D12" s="471"/>
      <c r="E12" s="471"/>
      <c r="F12" s="471"/>
      <c r="G12" s="472"/>
    </row>
    <row r="13" spans="3:7">
      <c r="C13" s="470"/>
      <c r="D13" s="471"/>
      <c r="E13" s="471"/>
      <c r="F13" s="471"/>
      <c r="G13" s="472"/>
    </row>
    <row r="14" spans="3:7">
      <c r="C14" s="470"/>
      <c r="D14" s="471"/>
      <c r="E14" s="471"/>
      <c r="F14" s="471"/>
      <c r="G14" s="472"/>
    </row>
    <row r="15" spans="3:7">
      <c r="C15" s="470"/>
      <c r="D15" s="471"/>
      <c r="E15" s="471"/>
      <c r="F15" s="471"/>
      <c r="G15" s="472"/>
    </row>
    <row r="16" spans="3:7">
      <c r="C16" s="470"/>
      <c r="D16" s="471"/>
      <c r="E16" s="471"/>
      <c r="F16" s="471"/>
      <c r="G16" s="472"/>
    </row>
    <row r="17" spans="3:7">
      <c r="C17" s="470"/>
      <c r="D17" s="471"/>
      <c r="E17" s="471"/>
      <c r="F17" s="471"/>
      <c r="G17" s="472"/>
    </row>
    <row r="18" spans="3:7" ht="1.9" customHeight="1">
      <c r="C18" s="470"/>
      <c r="D18" s="471"/>
      <c r="E18" s="471"/>
      <c r="F18" s="471"/>
      <c r="G18" s="472"/>
    </row>
    <row r="19" spans="3:7">
      <c r="C19" s="470"/>
      <c r="D19" s="471"/>
      <c r="E19" s="471"/>
      <c r="F19" s="471"/>
      <c r="G19" s="472"/>
    </row>
    <row r="20" spans="3:7">
      <c r="C20" s="470"/>
      <c r="D20" s="471"/>
      <c r="E20" s="471"/>
      <c r="F20" s="471"/>
      <c r="G20" s="472"/>
    </row>
    <row r="21" spans="3:7">
      <c r="C21" s="470"/>
      <c r="D21" s="471"/>
      <c r="E21" s="471"/>
      <c r="F21" s="471"/>
      <c r="G21" s="472"/>
    </row>
    <row r="22" spans="3:7" ht="9.6" customHeight="1">
      <c r="C22" s="470"/>
      <c r="D22" s="471"/>
      <c r="E22" s="471"/>
      <c r="F22" s="471"/>
      <c r="G22" s="472"/>
    </row>
    <row r="23" spans="3:7" hidden="1">
      <c r="C23" s="470"/>
      <c r="D23" s="471"/>
      <c r="E23" s="471"/>
      <c r="F23" s="471"/>
      <c r="G23" s="472"/>
    </row>
    <row r="24" spans="3:7" hidden="1">
      <c r="C24" s="470"/>
      <c r="D24" s="471"/>
      <c r="E24" s="471"/>
      <c r="F24" s="471"/>
      <c r="G24" s="472"/>
    </row>
    <row r="25" spans="3:7" hidden="1">
      <c r="C25" s="470"/>
      <c r="D25" s="471"/>
      <c r="E25" s="471"/>
      <c r="F25" s="471"/>
      <c r="G25" s="472"/>
    </row>
    <row r="26" spans="3:7" ht="90" customHeight="1">
      <c r="C26" s="473"/>
      <c r="D26" s="474"/>
      <c r="E26" s="474"/>
      <c r="F26" s="474"/>
      <c r="G26" s="475"/>
    </row>
  </sheetData>
  <mergeCells count="1">
    <mergeCell ref="C4:G26"/>
  </mergeCells>
  <pageMargins left="0.70866141732283472" right="0.70866141732283472" top="0.74803149606299213" bottom="0.74803149606299213"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B4:H70"/>
  <sheetViews>
    <sheetView showGridLines="0" topLeftCell="A26" zoomScale="102" zoomScaleNormal="102" workbookViewId="0">
      <selection activeCell="D58" sqref="D58"/>
    </sheetView>
  </sheetViews>
  <sheetFormatPr baseColWidth="10" defaultColWidth="10.7109375" defaultRowHeight="15"/>
  <cols>
    <col min="2" max="2" width="40.28515625" customWidth="1"/>
    <col min="3" max="3" width="15.7109375" style="17" bestFit="1" customWidth="1"/>
    <col min="4" max="4" width="12.28515625" style="16" bestFit="1" customWidth="1"/>
    <col min="5" max="5" width="41.42578125" style="16" bestFit="1" customWidth="1"/>
    <col min="6" max="6" width="17.42578125" style="16" bestFit="1" customWidth="1"/>
    <col min="7" max="7" width="13.42578125" style="16" customWidth="1"/>
    <col min="8" max="8" width="15.28515625" bestFit="1" customWidth="1"/>
  </cols>
  <sheetData>
    <row r="4" spans="2:7">
      <c r="B4" s="476" t="s">
        <v>785</v>
      </c>
      <c r="C4" s="476"/>
      <c r="D4" s="476"/>
      <c r="E4" s="476"/>
      <c r="F4" s="476"/>
      <c r="G4" s="476"/>
    </row>
    <row r="5" spans="2:7">
      <c r="B5" s="476"/>
      <c r="C5" s="476"/>
      <c r="D5" s="476"/>
      <c r="E5" s="476"/>
      <c r="F5" s="476"/>
      <c r="G5" s="476"/>
    </row>
    <row r="6" spans="2:7">
      <c r="B6" s="476"/>
      <c r="C6" s="476"/>
      <c r="D6" s="476"/>
      <c r="E6" s="476"/>
      <c r="F6" s="476"/>
      <c r="G6" s="476"/>
    </row>
    <row r="7" spans="2:7" ht="15.75" thickBot="1"/>
    <row r="8" spans="2:7" ht="15" customHeight="1">
      <c r="B8" s="477" t="s">
        <v>1</v>
      </c>
      <c r="C8" s="479" t="s">
        <v>40</v>
      </c>
      <c r="D8" s="477" t="s">
        <v>326</v>
      </c>
      <c r="E8" s="477" t="s">
        <v>3</v>
      </c>
      <c r="F8" s="477" t="s">
        <v>2</v>
      </c>
      <c r="G8" s="477" t="s">
        <v>326</v>
      </c>
    </row>
    <row r="9" spans="2:7" ht="15.75" thickBot="1">
      <c r="B9" s="478"/>
      <c r="C9" s="480"/>
      <c r="D9" s="478"/>
      <c r="E9" s="478"/>
      <c r="F9" s="478"/>
      <c r="G9" s="478"/>
    </row>
    <row r="10" spans="2:7">
      <c r="B10" s="244" t="s">
        <v>4</v>
      </c>
      <c r="C10" s="194"/>
      <c r="D10" s="252"/>
      <c r="E10" s="195" t="s">
        <v>449</v>
      </c>
      <c r="F10" s="96"/>
      <c r="G10" s="96"/>
    </row>
    <row r="11" spans="2:7">
      <c r="B11" s="245" t="s">
        <v>37</v>
      </c>
      <c r="C11" s="97">
        <f>+SUM(C12:C14)</f>
        <v>1074423240.4300001</v>
      </c>
      <c r="D11" s="253">
        <f>+SUM(D12:D14)</f>
        <v>1311163647.2199998</v>
      </c>
      <c r="E11" s="197" t="s">
        <v>9</v>
      </c>
      <c r="F11" s="292">
        <f>+SUM(F12:F14)</f>
        <v>46262908.984000005</v>
      </c>
      <c r="G11" s="97">
        <f>+SUM(G12:G14)</f>
        <v>195858971.06599998</v>
      </c>
    </row>
    <row r="12" spans="2:7">
      <c r="B12" s="246" t="s">
        <v>5</v>
      </c>
      <c r="C12" s="98">
        <v>0</v>
      </c>
      <c r="D12" s="243">
        <v>0</v>
      </c>
      <c r="E12" s="199" t="s">
        <v>312</v>
      </c>
      <c r="F12" s="98">
        <f>+'Notas a los EEFF'!C369</f>
        <v>0</v>
      </c>
      <c r="G12" s="98">
        <f>+'Notas a los EEFF'!D369</f>
        <v>7100983</v>
      </c>
    </row>
    <row r="13" spans="2:7">
      <c r="B13" s="246" t="s">
        <v>6</v>
      </c>
      <c r="C13" s="383">
        <f>+'Notas a los EEFF'!C100</f>
        <v>1074423240.4300001</v>
      </c>
      <c r="D13" s="243">
        <f>+'Notas a los EEFF'!D100</f>
        <v>1311163647.2199998</v>
      </c>
      <c r="E13" s="199" t="s">
        <v>306</v>
      </c>
      <c r="F13" s="414">
        <f>+'Notas a los EEFF'!C364</f>
        <v>38599576.550000004</v>
      </c>
      <c r="G13" s="98">
        <f>+'Notas a los EEFF'!D364</f>
        <v>18757988.066</v>
      </c>
    </row>
    <row r="14" spans="2:7" ht="15" customHeight="1">
      <c r="B14" s="246"/>
      <c r="C14" s="98"/>
      <c r="D14" s="254"/>
      <c r="E14" s="199" t="s">
        <v>426</v>
      </c>
      <c r="F14" s="414">
        <f>+'Notas a los EEFF'!C386</f>
        <v>7663332.4340000004</v>
      </c>
      <c r="G14" s="187">
        <f>+'Notas a los EEFF'!D386</f>
        <v>170000000</v>
      </c>
    </row>
    <row r="15" spans="2:7">
      <c r="B15" s="245" t="s">
        <v>519</v>
      </c>
      <c r="C15" s="97">
        <f>+SUM(C16:C17)</f>
        <v>1452254507.3300002</v>
      </c>
      <c r="D15" s="253">
        <f>+SUM(D16:D17)</f>
        <v>1446949583.3000002</v>
      </c>
      <c r="E15" s="102"/>
      <c r="F15" s="99"/>
      <c r="G15" s="99"/>
    </row>
    <row r="16" spans="2:7">
      <c r="B16" s="246" t="s">
        <v>7</v>
      </c>
      <c r="C16" s="98">
        <f>+'Notas a los EEFF'!D183</f>
        <v>60607974.990000002</v>
      </c>
      <c r="D16" s="243">
        <v>313732940.11000001</v>
      </c>
      <c r="E16" s="197" t="s">
        <v>10</v>
      </c>
      <c r="F16" s="97">
        <f>+SUM(F17:F18)</f>
        <v>0</v>
      </c>
      <c r="G16" s="97">
        <f>+SUM(G17:G18)</f>
        <v>0</v>
      </c>
    </row>
    <row r="17" spans="2:7">
      <c r="B17" s="246" t="s">
        <v>8</v>
      </c>
      <c r="C17" s="98">
        <f>+'Notas a los EEFF'!D182</f>
        <v>1391646532.3400002</v>
      </c>
      <c r="D17" s="243">
        <v>1133216643.1900001</v>
      </c>
      <c r="E17" s="199" t="s">
        <v>441</v>
      </c>
      <c r="F17" s="98">
        <f>+'Notas a los EEFF'!C317</f>
        <v>0</v>
      </c>
      <c r="G17" s="98">
        <f>+'Notas a los EEFF'!D317</f>
        <v>0</v>
      </c>
    </row>
    <row r="18" spans="2:7">
      <c r="B18" s="247"/>
      <c r="C18" s="99"/>
      <c r="D18" s="254"/>
      <c r="E18" s="199" t="s">
        <v>11</v>
      </c>
      <c r="F18" s="98">
        <f>+'Notas a los EEFF'!C323</f>
        <v>0</v>
      </c>
      <c r="G18" s="98">
        <f>+'Notas a los EEFF'!D323</f>
        <v>0</v>
      </c>
    </row>
    <row r="19" spans="2:7">
      <c r="B19" s="245" t="s">
        <v>12</v>
      </c>
      <c r="C19" s="97">
        <f>+SUM(C20:C22)</f>
        <v>417849883.10279995</v>
      </c>
      <c r="D19" s="253">
        <f>+SUM(D20:D22)</f>
        <v>489404459.96799999</v>
      </c>
      <c r="E19" s="102"/>
      <c r="F19" s="99"/>
      <c r="G19" s="99"/>
    </row>
    <row r="20" spans="2:7">
      <c r="B20" s="246" t="s">
        <v>13</v>
      </c>
      <c r="C20" s="98">
        <f>+'Notas a los EEFF'!C248</f>
        <v>396056952.71279997</v>
      </c>
      <c r="D20" s="243">
        <f>+'Notas a los EEFF'!D248</f>
        <v>451859877.91799998</v>
      </c>
      <c r="E20" s="197" t="s">
        <v>16</v>
      </c>
      <c r="F20" s="292">
        <f>+SUM(F21:F24)</f>
        <v>10351866.58</v>
      </c>
      <c r="G20" s="97">
        <f>+SUM(G21:G24)</f>
        <v>41551173.420000002</v>
      </c>
    </row>
    <row r="21" spans="2:7">
      <c r="B21" s="246" t="s">
        <v>14</v>
      </c>
      <c r="C21" s="98">
        <f>+'Notas a los EEFF'!C196</f>
        <v>11678000</v>
      </c>
      <c r="D21" s="243">
        <f>+'Notas a los EEFF'!D196</f>
        <v>4318765.049999997</v>
      </c>
      <c r="E21" s="199" t="s">
        <v>17</v>
      </c>
      <c r="F21" s="98">
        <v>0</v>
      </c>
      <c r="G21" s="98">
        <v>0</v>
      </c>
    </row>
    <row r="22" spans="2:7">
      <c r="B22" s="246" t="s">
        <v>15</v>
      </c>
      <c r="C22" s="98">
        <f>+'Notas a los EEFF'!C203</f>
        <v>10114930.390000001</v>
      </c>
      <c r="D22" s="243">
        <f>+'Notas a los EEFF'!D203</f>
        <v>33225817</v>
      </c>
      <c r="E22" s="199" t="s">
        <v>18</v>
      </c>
      <c r="F22" s="383">
        <v>10351866.58</v>
      </c>
      <c r="G22" s="98">
        <v>9885160.3599999994</v>
      </c>
    </row>
    <row r="23" spans="2:7">
      <c r="B23" s="246"/>
      <c r="C23" s="201"/>
      <c r="D23" s="255"/>
      <c r="E23" s="199" t="s">
        <v>19</v>
      </c>
      <c r="F23" s="383">
        <v>0</v>
      </c>
      <c r="G23" s="98">
        <v>31666013.059999999</v>
      </c>
    </row>
    <row r="24" spans="2:7">
      <c r="B24" s="245" t="s">
        <v>439</v>
      </c>
      <c r="C24" s="97">
        <f>+C25</f>
        <v>71662383.140000001</v>
      </c>
      <c r="D24" s="253">
        <f>+D25</f>
        <v>79845782.980000004</v>
      </c>
      <c r="E24" s="199"/>
      <c r="F24" s="99"/>
      <c r="G24" s="99"/>
    </row>
    <row r="25" spans="2:7">
      <c r="B25" s="246" t="s">
        <v>20</v>
      </c>
      <c r="C25" s="383">
        <f>+'Notas a los EEFF'!C302</f>
        <v>71662383.140000001</v>
      </c>
      <c r="D25" s="243">
        <f>+'Notas a los EEFF'!D302</f>
        <v>79845782.980000004</v>
      </c>
      <c r="E25" s="197" t="s">
        <v>21</v>
      </c>
      <c r="F25" s="292">
        <f>+SUM(F26:F28)</f>
        <v>164612209</v>
      </c>
      <c r="G25" s="97">
        <f>+SUM(G26:G28)</f>
        <v>479155344</v>
      </c>
    </row>
    <row r="26" spans="2:7">
      <c r="B26" s="245"/>
      <c r="C26" s="201"/>
      <c r="D26" s="255"/>
      <c r="E26" s="199" t="s">
        <v>22</v>
      </c>
      <c r="F26" s="383">
        <f>+'Notas a los EEFF'!C400</f>
        <v>159536470</v>
      </c>
      <c r="G26" s="98">
        <f>+'Notas a los EEFF'!D400</f>
        <v>0</v>
      </c>
    </row>
    <row r="27" spans="2:7">
      <c r="B27" s="245"/>
      <c r="C27" s="201"/>
      <c r="D27" s="255"/>
      <c r="E27" s="199" t="s">
        <v>23</v>
      </c>
      <c r="F27" s="383">
        <f>+'Notas a los EEFF'!C414</f>
        <v>5075739</v>
      </c>
      <c r="G27" s="98">
        <f>+'Notas a los EEFF'!D414</f>
        <v>479155344</v>
      </c>
    </row>
    <row r="28" spans="2:7">
      <c r="B28" s="245"/>
      <c r="C28" s="201"/>
      <c r="D28" s="255"/>
      <c r="E28" s="199"/>
      <c r="F28" s="98"/>
      <c r="G28" s="99"/>
    </row>
    <row r="29" spans="2:7">
      <c r="B29" s="245" t="s">
        <v>24</v>
      </c>
      <c r="C29" s="97">
        <f>+C25+C19+C15+C11</f>
        <v>3016190014.0028</v>
      </c>
      <c r="D29" s="253">
        <f>+D25+D19+D15+D11</f>
        <v>3327363473.4679999</v>
      </c>
      <c r="E29" s="197" t="s">
        <v>25</v>
      </c>
      <c r="F29" s="292">
        <f>+F11+F16+F20+F25</f>
        <v>221226984.56400001</v>
      </c>
      <c r="G29" s="97">
        <f>+G11+G16+G20+G25</f>
        <v>716565488.48600006</v>
      </c>
    </row>
    <row r="30" spans="2:7">
      <c r="B30" s="246"/>
      <c r="C30" s="200"/>
      <c r="D30" s="256"/>
      <c r="E30" s="198"/>
      <c r="F30" s="99"/>
      <c r="G30" s="99"/>
    </row>
    <row r="31" spans="2:7">
      <c r="B31" s="245" t="s">
        <v>26</v>
      </c>
      <c r="C31" s="98"/>
      <c r="D31" s="254"/>
      <c r="E31" s="196" t="s">
        <v>440</v>
      </c>
      <c r="F31" s="172"/>
      <c r="G31" s="99"/>
    </row>
    <row r="32" spans="2:7">
      <c r="B32" s="245" t="s">
        <v>437</v>
      </c>
      <c r="C32" s="97">
        <f>+SUM(C33:C36)</f>
        <v>1582667003.26</v>
      </c>
      <c r="D32" s="253">
        <f>+SUM(D33:D36)</f>
        <v>1005181333.8099999</v>
      </c>
      <c r="E32" s="197" t="s">
        <v>10</v>
      </c>
      <c r="F32" s="97">
        <f>+F33</f>
        <v>0</v>
      </c>
      <c r="G32" s="97">
        <f>+G33</f>
        <v>0</v>
      </c>
    </row>
    <row r="33" spans="2:7">
      <c r="B33" s="242" t="s">
        <v>804</v>
      </c>
      <c r="C33" s="257">
        <v>20005550.390000001</v>
      </c>
      <c r="D33" s="294">
        <v>2180394.06</v>
      </c>
      <c r="E33" s="199" t="s">
        <v>441</v>
      </c>
      <c r="F33" s="98">
        <f>+'Notas a los EEFF'!C333</f>
        <v>0</v>
      </c>
      <c r="G33" s="98">
        <v>0</v>
      </c>
    </row>
    <row r="34" spans="2:7">
      <c r="B34" s="242" t="s">
        <v>805</v>
      </c>
      <c r="C34" s="257">
        <v>2661452.87</v>
      </c>
      <c r="D34" s="294">
        <v>939.75</v>
      </c>
      <c r="E34" s="199"/>
      <c r="F34" s="98"/>
      <c r="G34" s="98"/>
    </row>
    <row r="35" spans="2:7">
      <c r="B35" s="246" t="s">
        <v>438</v>
      </c>
      <c r="C35" s="98">
        <f>+'Notas a los EEFF'!E117</f>
        <v>1560000000</v>
      </c>
      <c r="D35" s="243">
        <f>+'Notas a los EEFF'!E118</f>
        <v>1003000000</v>
      </c>
      <c r="E35" s="199" t="s">
        <v>309</v>
      </c>
      <c r="F35" s="100">
        <f>+'Notas a los EEFF'!C378</f>
        <v>0</v>
      </c>
      <c r="G35" s="100">
        <f>+'Notas a los EEFF'!D378</f>
        <v>0</v>
      </c>
    </row>
    <row r="36" spans="2:7" ht="18.75" customHeight="1">
      <c r="B36" s="246" t="s">
        <v>27</v>
      </c>
      <c r="C36" s="98">
        <v>0</v>
      </c>
      <c r="D36" s="243">
        <v>0</v>
      </c>
      <c r="E36" s="199"/>
      <c r="F36" s="102"/>
      <c r="G36" s="102"/>
    </row>
    <row r="37" spans="2:7">
      <c r="B37" s="248"/>
      <c r="C37" s="201"/>
      <c r="D37" s="255"/>
      <c r="E37" s="197" t="s">
        <v>28</v>
      </c>
      <c r="F37" s="206">
        <f>+F32+F35</f>
        <v>0</v>
      </c>
      <c r="G37" s="206">
        <f>+G32+G35</f>
        <v>0</v>
      </c>
    </row>
    <row r="38" spans="2:7">
      <c r="B38" s="245" t="s">
        <v>436</v>
      </c>
      <c r="C38" s="201"/>
      <c r="D38" s="255"/>
      <c r="E38" s="197"/>
      <c r="F38" s="98"/>
      <c r="G38" s="98"/>
    </row>
    <row r="39" spans="2:7">
      <c r="B39" s="246"/>
      <c r="C39" s="201"/>
      <c r="D39" s="255"/>
      <c r="E39" s="197"/>
      <c r="F39" s="99"/>
      <c r="G39" s="99"/>
    </row>
    <row r="40" spans="2:7">
      <c r="B40" s="245" t="s">
        <v>446</v>
      </c>
      <c r="C40" s="98">
        <f>+'Notas a los EEFF'!G261</f>
        <v>297911557.37</v>
      </c>
      <c r="D40" s="243">
        <f>+'Notas a los EEFF'!G262</f>
        <v>282738692.55000001</v>
      </c>
      <c r="E40" s="197" t="s">
        <v>30</v>
      </c>
      <c r="F40" s="292">
        <f>+F29+F37</f>
        <v>221226984.56400001</v>
      </c>
      <c r="G40" s="97">
        <f>+G29+G37</f>
        <v>716565488.48600006</v>
      </c>
    </row>
    <row r="41" spans="2:7">
      <c r="B41" s="246" t="s">
        <v>29</v>
      </c>
      <c r="C41" s="98">
        <f>-'Notas a los EEFF'!L261</f>
        <v>-257022610.18152642</v>
      </c>
      <c r="D41" s="243">
        <f>-'Notas a los EEFF'!L262+18</f>
        <v>-242600691.21876007</v>
      </c>
      <c r="E41" s="197"/>
      <c r="F41" s="101"/>
      <c r="G41" s="101"/>
    </row>
    <row r="42" spans="2:7">
      <c r="B42" s="246"/>
      <c r="C42" s="201"/>
      <c r="D42" s="255"/>
      <c r="E42" s="197" t="s">
        <v>31</v>
      </c>
      <c r="F42" s="97"/>
      <c r="G42" s="97"/>
    </row>
    <row r="43" spans="2:7">
      <c r="B43" s="246"/>
      <c r="C43" s="201"/>
      <c r="D43" s="255"/>
      <c r="E43" s="199" t="s">
        <v>34</v>
      </c>
      <c r="F43" s="98">
        <v>4534400000</v>
      </c>
      <c r="G43" s="98">
        <v>4227400000</v>
      </c>
    </row>
    <row r="44" spans="2:7">
      <c r="B44" s="249" t="s">
        <v>448</v>
      </c>
      <c r="C44" s="97">
        <f>+'Notas a los EEFF'!F282</f>
        <v>113699411.2</v>
      </c>
      <c r="D44" s="253">
        <f>+'Notas a los EEFF'!F283</f>
        <v>117588015.59999999</v>
      </c>
      <c r="E44" s="199" t="s">
        <v>447</v>
      </c>
      <c r="F44" s="98">
        <v>10126094</v>
      </c>
      <c r="G44" s="98">
        <v>10015298</v>
      </c>
    </row>
    <row r="45" spans="2:7">
      <c r="B45" s="249"/>
      <c r="C45" s="98"/>
      <c r="D45" s="254"/>
      <c r="E45" s="199" t="s">
        <v>346</v>
      </c>
      <c r="F45" s="98">
        <v>14010438</v>
      </c>
      <c r="G45" s="98">
        <v>14010438</v>
      </c>
    </row>
    <row r="46" spans="2:7">
      <c r="B46" s="249" t="s">
        <v>409</v>
      </c>
      <c r="C46" s="97">
        <f>+C47</f>
        <v>366071388.79000002</v>
      </c>
      <c r="D46" s="253">
        <f>+D47</f>
        <v>311618073</v>
      </c>
      <c r="E46" s="199" t="s">
        <v>418</v>
      </c>
      <c r="F46" s="98">
        <v>1360000000</v>
      </c>
      <c r="G46" s="98">
        <v>803000000</v>
      </c>
    </row>
    <row r="47" spans="2:7">
      <c r="B47" s="250" t="s">
        <v>450</v>
      </c>
      <c r="C47" s="98">
        <f>+'Notas a los EEFF'!C309</f>
        <v>366071388.79000002</v>
      </c>
      <c r="D47" s="243">
        <f>+'Notas a los EEFF'!D309</f>
        <v>311618073</v>
      </c>
      <c r="E47" s="197" t="s">
        <v>345</v>
      </c>
      <c r="F47" s="97">
        <f>+F48+F49+F50</f>
        <v>221150226</v>
      </c>
      <c r="G47" s="97">
        <f>+G48+G49+G50</f>
        <v>190816305</v>
      </c>
    </row>
    <row r="48" spans="2:7">
      <c r="B48" s="251"/>
      <c r="C48" s="98"/>
      <c r="D48" s="254"/>
      <c r="E48" s="199" t="s">
        <v>131</v>
      </c>
      <c r="F48" s="98">
        <v>154992553</v>
      </c>
      <c r="G48" s="98">
        <v>133413339</v>
      </c>
    </row>
    <row r="49" spans="2:8">
      <c r="B49" s="246"/>
      <c r="C49" s="98"/>
      <c r="D49" s="243"/>
      <c r="E49" s="199" t="s">
        <v>35</v>
      </c>
      <c r="F49" s="98">
        <v>55315871</v>
      </c>
      <c r="G49" s="98">
        <v>46561164</v>
      </c>
    </row>
    <row r="50" spans="2:8">
      <c r="B50" s="246"/>
      <c r="C50" s="98"/>
      <c r="D50" s="243"/>
      <c r="E50" s="199" t="s">
        <v>330</v>
      </c>
      <c r="F50" s="98">
        <v>10841802</v>
      </c>
      <c r="G50" s="98">
        <v>10841802</v>
      </c>
    </row>
    <row r="51" spans="2:8">
      <c r="B51" s="246"/>
      <c r="C51" s="98"/>
      <c r="D51" s="243"/>
      <c r="E51" s="199"/>
      <c r="F51" s="97">
        <f>+F52+F53</f>
        <v>-1241396978.1199961</v>
      </c>
      <c r="G51" s="97">
        <f>+G52+G53</f>
        <v>-1159918632</v>
      </c>
    </row>
    <row r="52" spans="2:8">
      <c r="B52" s="246"/>
      <c r="C52" s="98"/>
      <c r="D52" s="243"/>
      <c r="E52" s="199" t="s">
        <v>249</v>
      </c>
      <c r="F52" s="98">
        <v>-1627508588.1199999</v>
      </c>
      <c r="G52" s="98">
        <v>-1627508588</v>
      </c>
    </row>
    <row r="53" spans="2:8">
      <c r="B53" s="246"/>
      <c r="C53" s="98"/>
      <c r="D53" s="243"/>
      <c r="E53" s="199" t="s">
        <v>331</v>
      </c>
      <c r="F53" s="98">
        <v>386111610.00000381</v>
      </c>
      <c r="G53" s="98">
        <v>467589956</v>
      </c>
    </row>
    <row r="54" spans="2:8">
      <c r="B54" s="246"/>
      <c r="C54" s="98"/>
      <c r="D54" s="254"/>
      <c r="E54" s="102"/>
      <c r="F54" s="102"/>
      <c r="G54" s="102"/>
    </row>
    <row r="55" spans="2:8" ht="15.75" thickBot="1">
      <c r="B55" s="245" t="s">
        <v>33</v>
      </c>
      <c r="C55" s="237">
        <f>+C32+C40+C41+C44+C46</f>
        <v>2103326750.4384737</v>
      </c>
      <c r="D55" s="253">
        <f>+D32+D40+D41+D44+D46</f>
        <v>1474525423.7412398</v>
      </c>
      <c r="E55" s="197" t="s">
        <v>301</v>
      </c>
      <c r="F55" s="293">
        <f>+F51+F47+F46+F45+F44+F43</f>
        <v>4898289779.8800039</v>
      </c>
      <c r="G55" s="207">
        <f>+G51+G47+G46+G45+G44+G43</f>
        <v>4085323409</v>
      </c>
    </row>
    <row r="56" spans="2:8">
      <c r="B56" s="487" t="s">
        <v>38</v>
      </c>
      <c r="C56" s="489">
        <f>+C29+C55</f>
        <v>5119516764.4412737</v>
      </c>
      <c r="D56" s="491">
        <f>+D29+D55</f>
        <v>4801888897.20924</v>
      </c>
      <c r="E56" s="493" t="s">
        <v>36</v>
      </c>
      <c r="F56" s="495">
        <f>+F40+F55</f>
        <v>5119516764.4440041</v>
      </c>
      <c r="G56" s="497">
        <f>+G40+G55</f>
        <v>4801888897.4860001</v>
      </c>
    </row>
    <row r="57" spans="2:8" ht="15.75" thickBot="1">
      <c r="B57" s="488"/>
      <c r="C57" s="490"/>
      <c r="D57" s="492"/>
      <c r="E57" s="494"/>
      <c r="F57" s="496"/>
      <c r="G57" s="498"/>
      <c r="H57" s="241"/>
    </row>
    <row r="58" spans="2:8">
      <c r="E58" s="17"/>
      <c r="F58" s="17"/>
    </row>
    <row r="59" spans="2:8" ht="15.75" thickBot="1"/>
    <row r="60" spans="2:8" ht="15" customHeight="1">
      <c r="B60" s="499"/>
      <c r="C60" s="501" t="s">
        <v>2</v>
      </c>
      <c r="D60" s="483" t="s">
        <v>39</v>
      </c>
      <c r="E60" s="481"/>
      <c r="F60" s="483" t="s">
        <v>2</v>
      </c>
      <c r="G60" s="485" t="s">
        <v>39</v>
      </c>
    </row>
    <row r="61" spans="2:8">
      <c r="B61" s="500"/>
      <c r="C61" s="502"/>
      <c r="D61" s="484"/>
      <c r="E61" s="482"/>
      <c r="F61" s="484"/>
      <c r="G61" s="486"/>
    </row>
    <row r="62" spans="2:8">
      <c r="B62" s="220" t="s">
        <v>313</v>
      </c>
      <c r="C62" s="109">
        <f>SUM(C63:C67)</f>
        <v>7168427374.6947994</v>
      </c>
      <c r="D62" s="109">
        <f>SUM(D63:D67)</f>
        <v>7466567499.7991991</v>
      </c>
      <c r="E62" s="18" t="s">
        <v>314</v>
      </c>
      <c r="F62" s="109">
        <f>SUM(F64:F67)</f>
        <v>7168427374.6947994</v>
      </c>
      <c r="G62" s="109">
        <f>SUM(G64:G67)</f>
        <v>7466567499.7992001</v>
      </c>
    </row>
    <row r="63" spans="2:8">
      <c r="B63" s="226" t="s">
        <v>486</v>
      </c>
      <c r="C63" s="227">
        <v>7008856044.7749996</v>
      </c>
      <c r="D63" s="227">
        <v>7008856044.7749996</v>
      </c>
      <c r="E63" s="18"/>
      <c r="F63" s="109"/>
      <c r="G63" s="109"/>
    </row>
    <row r="64" spans="2:8">
      <c r="B64" s="221" t="s">
        <v>473</v>
      </c>
      <c r="C64" s="228">
        <v>9299532</v>
      </c>
      <c r="D64" s="228">
        <v>315671529</v>
      </c>
      <c r="E64" s="222" t="s">
        <v>806</v>
      </c>
      <c r="F64" s="109">
        <f>SUM(C64:C67)</f>
        <v>159571329.91979998</v>
      </c>
      <c r="G64" s="109">
        <f>SUM(D64:D67)</f>
        <v>457711455.02419996</v>
      </c>
    </row>
    <row r="65" spans="2:7">
      <c r="B65" s="221" t="s">
        <v>807</v>
      </c>
      <c r="C65" s="228">
        <v>116963328</v>
      </c>
      <c r="D65" s="228">
        <v>84020705</v>
      </c>
      <c r="E65" s="222"/>
      <c r="F65" s="109"/>
      <c r="G65" s="109"/>
    </row>
    <row r="66" spans="2:7">
      <c r="B66" s="221" t="s">
        <v>808</v>
      </c>
      <c r="C66" s="228">
        <v>7169891.1555999992</v>
      </c>
      <c r="D66" s="228">
        <v>50151780.603</v>
      </c>
      <c r="E66" s="222"/>
      <c r="F66" s="109"/>
      <c r="G66" s="109"/>
    </row>
    <row r="67" spans="2:7" ht="15.75" thickBot="1">
      <c r="B67" s="221" t="s">
        <v>472</v>
      </c>
      <c r="C67" s="229">
        <v>26138578.764199998</v>
      </c>
      <c r="D67" s="229">
        <v>7867440.4212000007</v>
      </c>
      <c r="E67" s="222" t="s">
        <v>420</v>
      </c>
      <c r="F67" s="109">
        <f>+C63</f>
        <v>7008856044.7749996</v>
      </c>
      <c r="G67" s="109">
        <f>+D63</f>
        <v>7008856044.7749996</v>
      </c>
    </row>
    <row r="70" spans="2:7">
      <c r="B70" s="503" t="s">
        <v>348</v>
      </c>
      <c r="C70" s="503"/>
      <c r="D70" s="503"/>
      <c r="E70" s="503"/>
      <c r="F70" s="503"/>
      <c r="G70" s="503"/>
    </row>
  </sheetData>
  <mergeCells count="20">
    <mergeCell ref="B70:G70"/>
    <mergeCell ref="D8:D9"/>
    <mergeCell ref="E8:E9"/>
    <mergeCell ref="F8:F9"/>
    <mergeCell ref="G8:G9"/>
    <mergeCell ref="B4:G6"/>
    <mergeCell ref="B8:B9"/>
    <mergeCell ref="C8:C9"/>
    <mergeCell ref="E60:E61"/>
    <mergeCell ref="F60:F61"/>
    <mergeCell ref="G60:G61"/>
    <mergeCell ref="B56:B57"/>
    <mergeCell ref="C56:C57"/>
    <mergeCell ref="D56:D57"/>
    <mergeCell ref="E56:E57"/>
    <mergeCell ref="F56:F57"/>
    <mergeCell ref="G56:G57"/>
    <mergeCell ref="B60:B61"/>
    <mergeCell ref="C60:C61"/>
    <mergeCell ref="D60:D61"/>
  </mergeCells>
  <pageMargins left="0.70866141732283472" right="0.70866141732283472" top="0.74803149606299213" bottom="0.74803149606299213" header="0.31496062992125984" footer="0.31496062992125984"/>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B4:G57"/>
  <sheetViews>
    <sheetView showGridLines="0" topLeftCell="A36" zoomScale="102" zoomScaleNormal="102" workbookViewId="0">
      <selection activeCell="C55" sqref="C55"/>
    </sheetView>
  </sheetViews>
  <sheetFormatPr baseColWidth="10" defaultColWidth="10.7109375" defaultRowHeight="15"/>
  <cols>
    <col min="2" max="2" width="60.5703125" bestFit="1" customWidth="1"/>
    <col min="3" max="3" width="16.7109375" customWidth="1"/>
    <col min="4" max="4" width="23.42578125" customWidth="1"/>
    <col min="6" max="6" width="12.7109375" bestFit="1" customWidth="1"/>
    <col min="8" max="8" width="17.28515625" customWidth="1"/>
  </cols>
  <sheetData>
    <row r="4" spans="2:4">
      <c r="B4" s="504" t="s">
        <v>788</v>
      </c>
      <c r="C4" s="504"/>
      <c r="D4" s="504"/>
    </row>
    <row r="5" spans="2:4">
      <c r="B5" s="504"/>
      <c r="C5" s="504"/>
      <c r="D5" s="504"/>
    </row>
    <row r="7" spans="2:4" ht="22.5">
      <c r="B7" s="157"/>
      <c r="C7" s="158" t="s">
        <v>40</v>
      </c>
      <c r="D7" s="152" t="s">
        <v>41</v>
      </c>
    </row>
    <row r="8" spans="2:4">
      <c r="B8" s="400" t="s">
        <v>42</v>
      </c>
      <c r="C8" s="401">
        <f>+SUM(C9:C23)</f>
        <v>24025953671.510002</v>
      </c>
      <c r="D8" s="401">
        <f>+SUM(D9:D23)</f>
        <v>36969131976.389992</v>
      </c>
    </row>
    <row r="9" spans="2:4">
      <c r="B9" s="402" t="s">
        <v>43</v>
      </c>
      <c r="C9" s="403"/>
      <c r="D9" s="403"/>
    </row>
    <row r="10" spans="2:4">
      <c r="B10" s="404" t="s">
        <v>44</v>
      </c>
      <c r="C10" s="405">
        <v>0</v>
      </c>
      <c r="D10" s="405">
        <v>0</v>
      </c>
    </row>
    <row r="11" spans="2:4">
      <c r="B11" s="404" t="s">
        <v>45</v>
      </c>
      <c r="C11" s="405">
        <v>0</v>
      </c>
      <c r="D11" s="405">
        <v>0</v>
      </c>
    </row>
    <row r="12" spans="2:4">
      <c r="B12" s="402" t="s">
        <v>46</v>
      </c>
      <c r="C12" s="403"/>
      <c r="D12" s="403"/>
    </row>
    <row r="13" spans="2:4">
      <c r="B13" s="404" t="s">
        <v>47</v>
      </c>
      <c r="C13" s="24">
        <v>5732705.4500000002</v>
      </c>
      <c r="D13" s="405">
        <v>77117423.530000001</v>
      </c>
    </row>
    <row r="14" spans="2:4">
      <c r="B14" s="404" t="s">
        <v>48</v>
      </c>
      <c r="C14" s="24">
        <v>838970517.75</v>
      </c>
      <c r="D14" s="405">
        <v>390764542.50999999</v>
      </c>
    </row>
    <row r="15" spans="2:4">
      <c r="B15" s="404" t="s">
        <v>756</v>
      </c>
      <c r="C15" s="24"/>
      <c r="D15" s="405"/>
    </row>
    <row r="16" spans="2:4">
      <c r="B16" s="404" t="s">
        <v>757</v>
      </c>
      <c r="C16" s="24"/>
      <c r="D16" s="405"/>
    </row>
    <row r="17" spans="2:4">
      <c r="B17" s="406" t="s">
        <v>49</v>
      </c>
      <c r="C17" s="24">
        <v>2129198.1800000002</v>
      </c>
      <c r="D17" s="405">
        <v>359933512.60000002</v>
      </c>
    </row>
    <row r="18" spans="2:4">
      <c r="B18" s="406" t="s">
        <v>758</v>
      </c>
      <c r="C18" s="24"/>
      <c r="D18" s="405"/>
    </row>
    <row r="19" spans="2:4">
      <c r="B19" s="406" t="s">
        <v>759</v>
      </c>
      <c r="C19" s="24">
        <f>+'Notas a los EEFF'!C489</f>
        <v>19319939875.25</v>
      </c>
      <c r="D19" s="24">
        <f>+'Notas a los EEFF'!D489</f>
        <v>33728016279.279999</v>
      </c>
    </row>
    <row r="20" spans="2:4">
      <c r="B20" s="406" t="s">
        <v>760</v>
      </c>
      <c r="C20" s="24">
        <f>+'Notas a los EEFF'!C478</f>
        <v>157245816</v>
      </c>
      <c r="D20" s="24">
        <f>+'Notas a los EEFF'!D478</f>
        <v>0</v>
      </c>
    </row>
    <row r="21" spans="2:4">
      <c r="B21" s="406" t="s">
        <v>761</v>
      </c>
      <c r="C21" s="24"/>
      <c r="D21" s="405"/>
    </row>
    <row r="22" spans="2:4">
      <c r="B22" s="406" t="s">
        <v>762</v>
      </c>
      <c r="C22" s="24">
        <f>+'Notas a los EEFF'!C495</f>
        <v>3579481936.25</v>
      </c>
      <c r="D22" s="24">
        <f>+'Notas a los EEFF'!D495</f>
        <v>2374432269.52</v>
      </c>
    </row>
    <row r="23" spans="2:4">
      <c r="B23" s="406" t="s">
        <v>50</v>
      </c>
      <c r="C23" s="405">
        <f>+'Notas a los EEFF'!C500</f>
        <v>122453622.63</v>
      </c>
      <c r="D23" s="405">
        <f>+'Notas a los EEFF'!D500</f>
        <v>38867948.949999996</v>
      </c>
    </row>
    <row r="24" spans="2:4">
      <c r="B24" s="400" t="s">
        <v>51</v>
      </c>
      <c r="C24" s="401">
        <f>SUM(C25:C27)</f>
        <v>-21999298910.349998</v>
      </c>
      <c r="D24" s="401">
        <f>SUM(D25:D27)</f>
        <v>-34777268096.520004</v>
      </c>
    </row>
    <row r="25" spans="2:4">
      <c r="B25" s="406" t="s">
        <v>52</v>
      </c>
      <c r="C25" s="202">
        <v>0</v>
      </c>
      <c r="D25" s="202">
        <v>0</v>
      </c>
    </row>
    <row r="26" spans="2:4">
      <c r="B26" s="406" t="s">
        <v>53</v>
      </c>
      <c r="C26" s="403">
        <f>-'Notas a los EEFF'!C519</f>
        <v>-146719409.47999999</v>
      </c>
      <c r="D26" s="403">
        <f>-'Notas a los EEFF'!D519</f>
        <v>-96815898.430000007</v>
      </c>
    </row>
    <row r="27" spans="2:4">
      <c r="B27" s="406" t="s">
        <v>54</v>
      </c>
      <c r="C27" s="403">
        <f>-'Notas a los EEFF'!C534</f>
        <v>-21852579500.869999</v>
      </c>
      <c r="D27" s="403">
        <f>-'Notas a los EEFF'!D534</f>
        <v>-34680452198.090004</v>
      </c>
    </row>
    <row r="28" spans="2:4">
      <c r="B28" s="400" t="s">
        <v>55</v>
      </c>
      <c r="C28" s="401">
        <f>+C8+C24</f>
        <v>2026654761.1600037</v>
      </c>
      <c r="D28" s="401">
        <f>+D8+D24</f>
        <v>2191863879.8699875</v>
      </c>
    </row>
    <row r="29" spans="2:4">
      <c r="B29" s="402" t="s">
        <v>56</v>
      </c>
      <c r="C29" s="401">
        <f>SUM(C30:C32)</f>
        <v>-421423147.60999995</v>
      </c>
      <c r="D29" s="401">
        <f>SUM(D30:D32)</f>
        <v>-956863893.30000007</v>
      </c>
    </row>
    <row r="30" spans="2:4">
      <c r="B30" s="406" t="s">
        <v>57</v>
      </c>
      <c r="C30" s="24">
        <v>-39141599.079999998</v>
      </c>
      <c r="D30" s="24">
        <v>-104525847.98999999</v>
      </c>
    </row>
    <row r="31" spans="2:4">
      <c r="B31" s="406" t="s">
        <v>58</v>
      </c>
      <c r="C31" s="403">
        <v>0</v>
      </c>
      <c r="D31" s="403">
        <v>0</v>
      </c>
    </row>
    <row r="32" spans="2:4">
      <c r="B32" s="406" t="s">
        <v>59</v>
      </c>
      <c r="C32" s="403">
        <f>-'Notas a los EEFF'!C551</f>
        <v>-382281548.52999997</v>
      </c>
      <c r="D32" s="403">
        <f>-'Notas a los EEFF'!D551</f>
        <v>-852338045.31000006</v>
      </c>
    </row>
    <row r="33" spans="2:4">
      <c r="B33" s="402" t="s">
        <v>60</v>
      </c>
      <c r="C33" s="401">
        <f>SUM(C34:C39)</f>
        <v>-1213477776.0699999</v>
      </c>
      <c r="D33" s="401">
        <f>SUM(D34:D39)</f>
        <v>-1011889422.41</v>
      </c>
    </row>
    <row r="34" spans="2:4">
      <c r="B34" s="406" t="s">
        <v>61</v>
      </c>
      <c r="C34" s="407">
        <v>0</v>
      </c>
      <c r="D34" s="403">
        <v>-3000000</v>
      </c>
    </row>
    <row r="35" spans="2:4">
      <c r="B35" s="406" t="s">
        <v>62</v>
      </c>
      <c r="C35" s="24">
        <v>-14242098.18</v>
      </c>
      <c r="D35" s="403">
        <v>-39021593</v>
      </c>
    </row>
    <row r="36" spans="2:4">
      <c r="B36" s="406" t="s">
        <v>63</v>
      </c>
      <c r="C36" s="403">
        <v>0</v>
      </c>
      <c r="D36" s="403">
        <v>0</v>
      </c>
    </row>
    <row r="37" spans="2:4">
      <c r="B37" s="406" t="s">
        <v>64</v>
      </c>
      <c r="C37" s="24">
        <v>-3673181.8</v>
      </c>
      <c r="D37" s="403">
        <v>-10211399.859999999</v>
      </c>
    </row>
    <row r="38" spans="2:4">
      <c r="B38" s="406" t="s">
        <v>65</v>
      </c>
      <c r="C38" s="403">
        <v>0</v>
      </c>
      <c r="D38" s="403">
        <v>0</v>
      </c>
    </row>
    <row r="39" spans="2:4">
      <c r="B39" s="406" t="s">
        <v>66</v>
      </c>
      <c r="C39" s="403">
        <f>-'Notas a los EEFF'!C578</f>
        <v>-1195562496.0899999</v>
      </c>
      <c r="D39" s="403">
        <f>-'Notas a los EEFF'!D578</f>
        <v>-959656429.54999995</v>
      </c>
    </row>
    <row r="40" spans="2:4">
      <c r="B40" s="400" t="s">
        <v>67</v>
      </c>
      <c r="C40" s="401">
        <f>+C28+C29+C33</f>
        <v>391753837.48000383</v>
      </c>
      <c r="D40" s="401">
        <f>+D28+D29+D33</f>
        <v>223110564.15998733</v>
      </c>
    </row>
    <row r="41" spans="2:4">
      <c r="B41" s="402" t="s">
        <v>68</v>
      </c>
      <c r="C41" s="401"/>
      <c r="D41" s="401"/>
    </row>
    <row r="42" spans="2:4">
      <c r="B42" s="406" t="s">
        <v>69</v>
      </c>
      <c r="C42" s="403">
        <f>+'Notas a los EEFF'!C597</f>
        <v>267988842.18000001</v>
      </c>
      <c r="D42" s="403">
        <f>+'Notas a los EEFF'!D597</f>
        <v>156345781.18000001</v>
      </c>
    </row>
    <row r="43" spans="2:4">
      <c r="B43" s="406" t="s">
        <v>70</v>
      </c>
      <c r="C43" s="403">
        <v>0</v>
      </c>
      <c r="D43" s="403">
        <v>0</v>
      </c>
    </row>
    <row r="44" spans="2:4">
      <c r="B44" s="402" t="s">
        <v>71</v>
      </c>
      <c r="C44" s="401"/>
      <c r="D44" s="401"/>
    </row>
    <row r="45" spans="2:4">
      <c r="B45" s="402" t="s">
        <v>72</v>
      </c>
      <c r="C45" s="401"/>
      <c r="D45" s="401"/>
    </row>
    <row r="46" spans="2:4">
      <c r="B46" s="406" t="s">
        <v>73</v>
      </c>
      <c r="C46" s="403">
        <f>+'Notas a los EEFF'!C617</f>
        <v>93997435.700000003</v>
      </c>
      <c r="D46" s="403">
        <f>+'Notas a los EEFF'!D617</f>
        <v>71272887.719999999</v>
      </c>
    </row>
    <row r="47" spans="2:4">
      <c r="B47" s="406" t="s">
        <v>74</v>
      </c>
      <c r="C47" s="403">
        <f>+'Notas a los EEFF'!D72</f>
        <v>63044100.060000002</v>
      </c>
      <c r="D47" s="403">
        <v>95718945.700000003</v>
      </c>
    </row>
    <row r="48" spans="2:4">
      <c r="B48" s="402" t="s">
        <v>75</v>
      </c>
      <c r="C48" s="401"/>
      <c r="D48" s="401"/>
    </row>
    <row r="49" spans="2:7">
      <c r="B49" s="406" t="s">
        <v>76</v>
      </c>
      <c r="C49" s="403">
        <f>'Notas a los EEFF'!C624</f>
        <v>0</v>
      </c>
      <c r="D49" s="403">
        <f>-'Notas a los EEFF'!D624</f>
        <v>-21352707.09</v>
      </c>
    </row>
    <row r="50" spans="2:7">
      <c r="B50" s="406" t="s">
        <v>74</v>
      </c>
      <c r="C50" s="403">
        <f>+'Notas a los EEFF'!D73</f>
        <v>-409093391.42000002</v>
      </c>
      <c r="D50" s="403">
        <f>+'Notas a los EEFF'!F73</f>
        <v>-34211033.43</v>
      </c>
    </row>
    <row r="51" spans="2:7">
      <c r="B51" s="400" t="s">
        <v>77</v>
      </c>
      <c r="C51" s="401">
        <f>SUM(C40:C50)</f>
        <v>407690824.00000387</v>
      </c>
      <c r="D51" s="401">
        <f>SUM(D40:D50)</f>
        <v>490884438.23998737</v>
      </c>
    </row>
    <row r="52" spans="2:7">
      <c r="B52" s="400" t="s">
        <v>78</v>
      </c>
      <c r="C52" s="401">
        <v>0</v>
      </c>
      <c r="D52" s="401">
        <v>0</v>
      </c>
    </row>
    <row r="53" spans="2:7">
      <c r="B53" s="400" t="s">
        <v>79</v>
      </c>
      <c r="C53" s="401">
        <f>+'Notas a los EEFF'!C605</f>
        <v>21579214</v>
      </c>
      <c r="D53" s="401">
        <f>+'Notas a los EEFF'!D605</f>
        <v>23294482</v>
      </c>
    </row>
    <row r="54" spans="2:7">
      <c r="B54" s="400" t="s">
        <v>80</v>
      </c>
      <c r="C54" s="408">
        <f>+C51-C52-C53</f>
        <v>386111610.00000387</v>
      </c>
      <c r="D54" s="401">
        <f>+D51-D52-D53</f>
        <v>467589956.23998737</v>
      </c>
    </row>
    <row r="55" spans="2:7">
      <c r="C55" s="411"/>
      <c r="D55" s="9"/>
    </row>
    <row r="56" spans="2:7">
      <c r="B56" s="2"/>
      <c r="C56" s="241"/>
      <c r="D56" s="2"/>
      <c r="F56" s="505"/>
      <c r="G56" s="505"/>
    </row>
    <row r="57" spans="2:7">
      <c r="B57" s="503" t="s">
        <v>348</v>
      </c>
      <c r="C57" s="503"/>
      <c r="D57" s="503"/>
      <c r="E57" s="503"/>
      <c r="F57" s="503"/>
    </row>
  </sheetData>
  <mergeCells count="3">
    <mergeCell ref="B4:D5"/>
    <mergeCell ref="F56:G56"/>
    <mergeCell ref="B57:F57"/>
  </mergeCells>
  <pageMargins left="0.70866141732283472" right="0.70866141732283472" top="1.3385826771653544" bottom="0.74803149606299213" header="0.31496062992125984" footer="0.31496062992125984"/>
  <pageSetup paperSize="9" scale="65"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4:O24"/>
  <sheetViews>
    <sheetView showGridLines="0" topLeftCell="A12" zoomScale="102" zoomScaleNormal="102" workbookViewId="0">
      <selection activeCell="I18" sqref="I18"/>
    </sheetView>
  </sheetViews>
  <sheetFormatPr baseColWidth="10" defaultColWidth="10.7109375" defaultRowHeight="15"/>
  <cols>
    <col min="1" max="1" width="4.7109375" customWidth="1"/>
    <col min="2" max="2" width="41.5703125" customWidth="1"/>
    <col min="3" max="3" width="16.42578125" customWidth="1"/>
    <col min="4" max="4" width="15" bestFit="1" customWidth="1"/>
    <col min="5" max="5" width="12.42578125" bestFit="1" customWidth="1"/>
    <col min="6" max="6" width="15" customWidth="1"/>
    <col min="7" max="7" width="16.7109375" customWidth="1"/>
    <col min="8" max="8" width="14.28515625" bestFit="1" customWidth="1"/>
    <col min="9" max="9" width="14.28515625" customWidth="1"/>
    <col min="10" max="10" width="14.28515625" bestFit="1" customWidth="1"/>
    <col min="11" max="11" width="15.42578125" customWidth="1"/>
    <col min="12" max="12" width="16.28515625" customWidth="1"/>
    <col min="13" max="13" width="15" bestFit="1" customWidth="1"/>
    <col min="14" max="14" width="14.28515625" bestFit="1" customWidth="1"/>
    <col min="15" max="15" width="14.42578125" bestFit="1" customWidth="1"/>
    <col min="16" max="16" width="13.5703125" bestFit="1" customWidth="1"/>
  </cols>
  <sheetData>
    <row r="4" spans="2:14" ht="15.75">
      <c r="B4" s="506" t="s">
        <v>111</v>
      </c>
      <c r="C4" s="506"/>
      <c r="D4" s="506"/>
      <c r="E4" s="506"/>
      <c r="F4" s="506"/>
      <c r="G4" s="506"/>
      <c r="H4" s="506"/>
      <c r="I4" s="506"/>
      <c r="J4" s="506"/>
      <c r="K4" s="506"/>
      <c r="L4" s="506"/>
      <c r="M4" s="506"/>
      <c r="N4" s="506"/>
    </row>
    <row r="5" spans="2:14" ht="15.75">
      <c r="B5" s="507" t="s">
        <v>790</v>
      </c>
      <c r="C5" s="507"/>
      <c r="D5" s="507"/>
      <c r="E5" s="507"/>
      <c r="F5" s="507"/>
      <c r="G5" s="507"/>
      <c r="H5" s="507"/>
      <c r="I5" s="507"/>
      <c r="J5" s="507"/>
      <c r="K5" s="507"/>
      <c r="L5" s="507"/>
      <c r="M5" s="507"/>
      <c r="N5" s="507"/>
    </row>
    <row r="6" spans="2:14" ht="15.75">
      <c r="B6" s="506" t="s">
        <v>112</v>
      </c>
      <c r="C6" s="506"/>
      <c r="D6" s="506"/>
      <c r="E6" s="506"/>
      <c r="F6" s="506"/>
      <c r="G6" s="506"/>
      <c r="H6" s="506"/>
      <c r="I6" s="506"/>
      <c r="J6" s="506"/>
      <c r="K6" s="506"/>
      <c r="L6" s="506"/>
      <c r="M6" s="506"/>
      <c r="N6" s="506"/>
    </row>
    <row r="7" spans="2:14" ht="15.75">
      <c r="B7" s="19"/>
      <c r="C7" s="19"/>
      <c r="D7" s="19"/>
      <c r="E7" s="19"/>
      <c r="F7" s="19"/>
      <c r="G7" s="19"/>
      <c r="H7" s="19"/>
      <c r="I7" s="19"/>
      <c r="J7" s="19"/>
      <c r="K7" s="19"/>
      <c r="L7" s="19"/>
      <c r="M7" s="19"/>
      <c r="N7" s="19"/>
    </row>
    <row r="8" spans="2:14">
      <c r="B8" s="431" t="s">
        <v>113</v>
      </c>
      <c r="C8" s="431" t="s">
        <v>114</v>
      </c>
      <c r="D8" s="431"/>
      <c r="E8" s="431"/>
      <c r="F8" s="431"/>
      <c r="G8" s="431" t="s">
        <v>115</v>
      </c>
      <c r="H8" s="431"/>
      <c r="I8" s="431"/>
      <c r="J8" s="431"/>
      <c r="K8" s="431" t="s">
        <v>116</v>
      </c>
      <c r="L8" s="431"/>
      <c r="M8" s="431" t="s">
        <v>117</v>
      </c>
      <c r="N8" s="431"/>
    </row>
    <row r="9" spans="2:14">
      <c r="B9" s="431"/>
      <c r="C9" s="431" t="s">
        <v>320</v>
      </c>
      <c r="D9" s="431" t="s">
        <v>118</v>
      </c>
      <c r="E9" s="431" t="s">
        <v>119</v>
      </c>
      <c r="F9" s="431" t="s">
        <v>120</v>
      </c>
      <c r="G9" s="431" t="s">
        <v>121</v>
      </c>
      <c r="H9" s="431" t="s">
        <v>320</v>
      </c>
      <c r="I9" s="431" t="s">
        <v>337</v>
      </c>
      <c r="J9" s="431" t="s">
        <v>122</v>
      </c>
      <c r="K9" s="431" t="s">
        <v>124</v>
      </c>
      <c r="L9" s="431" t="s">
        <v>125</v>
      </c>
      <c r="M9" s="144" t="s">
        <v>126</v>
      </c>
      <c r="N9" s="431" t="s">
        <v>128</v>
      </c>
    </row>
    <row r="10" spans="2:14">
      <c r="B10" s="431"/>
      <c r="C10" s="431"/>
      <c r="D10" s="431"/>
      <c r="E10" s="431"/>
      <c r="F10" s="431"/>
      <c r="G10" s="431"/>
      <c r="H10" s="431"/>
      <c r="I10" s="431"/>
      <c r="J10" s="431"/>
      <c r="K10" s="431"/>
      <c r="L10" s="431"/>
      <c r="M10" s="144" t="s">
        <v>127</v>
      </c>
      <c r="N10" s="431"/>
    </row>
    <row r="11" spans="2:14" s="173" customFormat="1">
      <c r="B11" s="45" t="s">
        <v>302</v>
      </c>
      <c r="C11" s="90">
        <f>+'Balance General'!G46</f>
        <v>803000000</v>
      </c>
      <c r="D11" s="90">
        <f>+'Balance General'!G45</f>
        <v>14010438</v>
      </c>
      <c r="E11" s="90">
        <f>+'Balance General'!G44</f>
        <v>10015298</v>
      </c>
      <c r="F11" s="90">
        <f>+'Balance General'!G43</f>
        <v>4227400000</v>
      </c>
      <c r="G11" s="90">
        <f>+'Balance General'!G48</f>
        <v>133413339</v>
      </c>
      <c r="H11" s="90">
        <v>0</v>
      </c>
      <c r="I11" s="90">
        <f>+'Balance General'!G49</f>
        <v>46561164</v>
      </c>
      <c r="J11" s="90">
        <f>+'Balance General'!G50</f>
        <v>10841802</v>
      </c>
      <c r="K11" s="90">
        <f>+'Balance General'!G52</f>
        <v>-1627508588</v>
      </c>
      <c r="L11" s="90">
        <f>+'Balance General'!G53</f>
        <v>467589956</v>
      </c>
      <c r="M11" s="90">
        <v>0</v>
      </c>
      <c r="N11" s="90">
        <f>SUM(C11:L11)</f>
        <v>4085323409</v>
      </c>
    </row>
    <row r="12" spans="2:14" s="173" customFormat="1">
      <c r="B12" s="39" t="s">
        <v>130</v>
      </c>
      <c r="C12" s="191"/>
      <c r="D12" s="191"/>
      <c r="E12" s="192"/>
      <c r="F12" s="40"/>
      <c r="G12" s="40"/>
      <c r="H12" s="40"/>
      <c r="I12" s="40"/>
      <c r="J12" s="191"/>
      <c r="K12" s="40"/>
      <c r="L12" s="40"/>
      <c r="M12" s="90"/>
      <c r="N12" s="90"/>
    </row>
    <row r="13" spans="2:14" s="173" customFormat="1">
      <c r="B13" s="45" t="s">
        <v>123</v>
      </c>
      <c r="C13" s="91">
        <v>0</v>
      </c>
      <c r="D13" s="91">
        <v>0</v>
      </c>
      <c r="E13" s="91">
        <f>+'Balance General'!F44-'Balance General'!G44</f>
        <v>110796</v>
      </c>
      <c r="F13" s="91">
        <f>+'Balance General'!F43-'Balance General'!G43</f>
        <v>307000000</v>
      </c>
      <c r="G13" s="92">
        <v>0</v>
      </c>
      <c r="H13" s="92">
        <v>0</v>
      </c>
      <c r="I13" s="92">
        <v>0</v>
      </c>
      <c r="J13" s="92">
        <v>0</v>
      </c>
      <c r="K13" s="92">
        <v>0</v>
      </c>
      <c r="L13" s="92">
        <v>0</v>
      </c>
      <c r="M13" s="90">
        <f>SUM(C13:L13)</f>
        <v>307110796</v>
      </c>
      <c r="N13" s="90">
        <v>0</v>
      </c>
    </row>
    <row r="14" spans="2:14" s="173" customFormat="1">
      <c r="B14" s="45" t="s">
        <v>636</v>
      </c>
      <c r="C14" s="91">
        <v>0</v>
      </c>
      <c r="D14" s="91">
        <f>+'Balance General'!F45-'Balance General'!G45</f>
        <v>0</v>
      </c>
      <c r="E14" s="91">
        <v>0</v>
      </c>
      <c r="F14" s="91">
        <v>0</v>
      </c>
      <c r="G14" s="91">
        <v>0</v>
      </c>
      <c r="H14" s="91">
        <v>0</v>
      </c>
      <c r="I14" s="91">
        <v>0</v>
      </c>
      <c r="J14" s="91">
        <v>0</v>
      </c>
      <c r="K14" s="91">
        <v>0</v>
      </c>
      <c r="L14" s="91">
        <v>0</v>
      </c>
      <c r="M14" s="90">
        <f>SUM(C14:L14)</f>
        <v>0</v>
      </c>
      <c r="N14" s="90"/>
    </row>
    <row r="15" spans="2:14" s="173" customFormat="1">
      <c r="B15" s="45" t="s">
        <v>131</v>
      </c>
      <c r="C15" s="92">
        <v>0</v>
      </c>
      <c r="D15" s="92">
        <v>0</v>
      </c>
      <c r="E15" s="92">
        <v>0</v>
      </c>
      <c r="F15" s="92">
        <v>0</v>
      </c>
      <c r="G15" s="93">
        <f>+'Balance General'!F48-'Balance General'!G48</f>
        <v>21579214</v>
      </c>
      <c r="H15" s="92">
        <v>0</v>
      </c>
      <c r="I15" s="92">
        <f>+'Balance General'!F49-'Balance General'!G49</f>
        <v>8754707</v>
      </c>
      <c r="J15" s="92">
        <v>0</v>
      </c>
      <c r="K15" s="92">
        <v>0</v>
      </c>
      <c r="L15" s="92">
        <v>0</v>
      </c>
      <c r="M15" s="90">
        <f t="shared" ref="M15:M19" si="0">SUM(C15:L15)</f>
        <v>30333921</v>
      </c>
      <c r="N15" s="90">
        <v>0</v>
      </c>
    </row>
    <row r="16" spans="2:14" s="173" customFormat="1">
      <c r="B16" s="45" t="s">
        <v>444</v>
      </c>
      <c r="C16" s="91">
        <v>0</v>
      </c>
      <c r="D16" s="91">
        <v>0</v>
      </c>
      <c r="E16" s="91">
        <v>0</v>
      </c>
      <c r="F16" s="91">
        <v>0</v>
      </c>
      <c r="G16" s="92">
        <v>0</v>
      </c>
      <c r="H16" s="92">
        <v>0</v>
      </c>
      <c r="I16" s="92">
        <v>0</v>
      </c>
      <c r="J16" s="92">
        <v>0</v>
      </c>
      <c r="K16" s="92">
        <f>+L11</f>
        <v>467589956</v>
      </c>
      <c r="L16" s="92">
        <f>-K16</f>
        <v>-467589956</v>
      </c>
      <c r="M16" s="90">
        <f t="shared" si="0"/>
        <v>0</v>
      </c>
      <c r="N16" s="90">
        <v>0</v>
      </c>
    </row>
    <row r="17" spans="2:15" s="173" customFormat="1">
      <c r="B17" s="45" t="s">
        <v>421</v>
      </c>
      <c r="C17" s="91">
        <v>0</v>
      </c>
      <c r="D17" s="91">
        <v>0</v>
      </c>
      <c r="E17" s="91">
        <v>0</v>
      </c>
      <c r="F17" s="91">
        <v>0</v>
      </c>
      <c r="G17" s="92">
        <v>0</v>
      </c>
      <c r="H17" s="92">
        <v>0</v>
      </c>
      <c r="I17" s="92">
        <v>0</v>
      </c>
      <c r="J17" s="92">
        <v>0</v>
      </c>
      <c r="K17" s="92">
        <f>(+'Balance General'!G52-'Balance General'!F52+'Balance General'!G53)*-1</f>
        <v>-467589956.11999989</v>
      </c>
      <c r="L17" s="92">
        <v>0</v>
      </c>
      <c r="M17" s="90">
        <f t="shared" si="0"/>
        <v>-467589956.11999989</v>
      </c>
      <c r="N17" s="90">
        <v>0</v>
      </c>
    </row>
    <row r="18" spans="2:15" s="173" customFormat="1">
      <c r="B18" s="45" t="s">
        <v>445</v>
      </c>
      <c r="C18" s="91">
        <f>+'Balance General'!F46-'Balance General'!G46</f>
        <v>557000000</v>
      </c>
      <c r="D18" s="91">
        <v>0</v>
      </c>
      <c r="E18" s="91">
        <v>0</v>
      </c>
      <c r="F18" s="91">
        <v>0</v>
      </c>
      <c r="G18" s="92">
        <v>0</v>
      </c>
      <c r="H18" s="92">
        <v>0</v>
      </c>
      <c r="I18" s="92">
        <v>0</v>
      </c>
      <c r="J18" s="92">
        <v>0</v>
      </c>
      <c r="K18" s="92">
        <v>0</v>
      </c>
      <c r="L18" s="92">
        <v>0</v>
      </c>
      <c r="M18" s="90">
        <f t="shared" si="0"/>
        <v>557000000</v>
      </c>
      <c r="N18" s="90">
        <v>0</v>
      </c>
    </row>
    <row r="19" spans="2:15" s="173" customFormat="1">
      <c r="B19" s="209" t="s">
        <v>303</v>
      </c>
      <c r="C19" s="210">
        <v>0</v>
      </c>
      <c r="D19" s="210">
        <v>0</v>
      </c>
      <c r="E19" s="210">
        <v>0</v>
      </c>
      <c r="F19" s="210">
        <v>0</v>
      </c>
      <c r="G19" s="208">
        <v>0</v>
      </c>
      <c r="H19" s="208">
        <v>0</v>
      </c>
      <c r="I19" s="208">
        <v>0</v>
      </c>
      <c r="J19" s="208">
        <v>0</v>
      </c>
      <c r="K19" s="211">
        <v>0</v>
      </c>
      <c r="L19" s="210">
        <f>+'Balance General'!F53</f>
        <v>386111610.00000381</v>
      </c>
      <c r="M19" s="208">
        <f t="shared" si="0"/>
        <v>386111610.00000381</v>
      </c>
      <c r="N19" s="208">
        <v>0</v>
      </c>
    </row>
    <row r="20" spans="2:15" s="173" customFormat="1">
      <c r="B20" s="212" t="s">
        <v>315</v>
      </c>
      <c r="C20" s="208">
        <f>SUM(C11:C19)</f>
        <v>1360000000</v>
      </c>
      <c r="D20" s="208">
        <f t="shared" ref="D20:L20" si="1">SUM(D11:D19)</f>
        <v>14010438</v>
      </c>
      <c r="E20" s="208">
        <f t="shared" si="1"/>
        <v>10126094</v>
      </c>
      <c r="F20" s="208">
        <f t="shared" si="1"/>
        <v>4534400000</v>
      </c>
      <c r="G20" s="208">
        <f t="shared" si="1"/>
        <v>154992553</v>
      </c>
      <c r="H20" s="208">
        <f t="shared" si="1"/>
        <v>0</v>
      </c>
      <c r="I20" s="208">
        <f t="shared" si="1"/>
        <v>55315871</v>
      </c>
      <c r="J20" s="208">
        <f t="shared" si="1"/>
        <v>10841802</v>
      </c>
      <c r="K20" s="208">
        <f>SUM(K11:K19)</f>
        <v>-1627508588.1199999</v>
      </c>
      <c r="L20" s="208">
        <f t="shared" si="1"/>
        <v>386111610.00000381</v>
      </c>
      <c r="M20" s="208">
        <f>SUM(C20:L20)</f>
        <v>4898289779.8800039</v>
      </c>
      <c r="N20" s="208">
        <v>0</v>
      </c>
      <c r="O20" s="391"/>
    </row>
    <row r="21" spans="2:15" s="173" customFormat="1">
      <c r="B21" s="212" t="s">
        <v>316</v>
      </c>
      <c r="C21" s="208">
        <f t="shared" ref="C21:H21" si="2">+C11</f>
        <v>803000000</v>
      </c>
      <c r="D21" s="208">
        <f t="shared" si="2"/>
        <v>14010438</v>
      </c>
      <c r="E21" s="213">
        <f t="shared" si="2"/>
        <v>10015298</v>
      </c>
      <c r="F21" s="213">
        <f t="shared" si="2"/>
        <v>4227400000</v>
      </c>
      <c r="G21" s="208">
        <f t="shared" si="2"/>
        <v>133413339</v>
      </c>
      <c r="H21" s="208">
        <f t="shared" si="2"/>
        <v>0</v>
      </c>
      <c r="I21" s="208">
        <v>0</v>
      </c>
      <c r="J21" s="208">
        <f>+J11</f>
        <v>10841802</v>
      </c>
      <c r="K21" s="208">
        <f>+K11</f>
        <v>-1627508588</v>
      </c>
      <c r="L21" s="208">
        <f>+L11</f>
        <v>467589956</v>
      </c>
      <c r="M21" s="208">
        <f>+M11</f>
        <v>0</v>
      </c>
      <c r="N21" s="208">
        <f>+N11</f>
        <v>4085323409</v>
      </c>
      <c r="O21" s="391"/>
    </row>
    <row r="22" spans="2:15">
      <c r="F22" s="9"/>
    </row>
    <row r="23" spans="2:15">
      <c r="M23" s="9"/>
    </row>
    <row r="24" spans="2:15" ht="16.5" customHeight="1">
      <c r="B24" s="138" t="s">
        <v>348</v>
      </c>
      <c r="C24" s="139"/>
      <c r="D24" s="140"/>
      <c r="E24" s="139"/>
      <c r="F24" s="139"/>
      <c r="G24" s="139"/>
      <c r="H24" s="139"/>
    </row>
  </sheetData>
  <mergeCells count="19">
    <mergeCell ref="H9:H10"/>
    <mergeCell ref="J9:J10"/>
    <mergeCell ref="N9:N10"/>
    <mergeCell ref="K9:K10"/>
    <mergeCell ref="L9:L10"/>
    <mergeCell ref="I9:I10"/>
    <mergeCell ref="B4:N4"/>
    <mergeCell ref="B5:N5"/>
    <mergeCell ref="B6:N6"/>
    <mergeCell ref="B8:B10"/>
    <mergeCell ref="C8:F8"/>
    <mergeCell ref="G8:J8"/>
    <mergeCell ref="K8:L8"/>
    <mergeCell ref="M8:N8"/>
    <mergeCell ref="C9:C10"/>
    <mergeCell ref="D9:D10"/>
    <mergeCell ref="E9:E10"/>
    <mergeCell ref="F9:F10"/>
    <mergeCell ref="G9:G10"/>
  </mergeCells>
  <pageMargins left="0.7" right="0.7" top="0.75" bottom="0.75" header="0.3" footer="0.3"/>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B4:D47"/>
  <sheetViews>
    <sheetView showGridLines="0" topLeftCell="A22" zoomScale="102" zoomScaleNormal="102" workbookViewId="0">
      <selection activeCell="C44" sqref="C44:D44"/>
    </sheetView>
  </sheetViews>
  <sheetFormatPr baseColWidth="10" defaultColWidth="10.7109375" defaultRowHeight="15"/>
  <cols>
    <col min="2" max="2" width="74.7109375" bestFit="1" customWidth="1"/>
    <col min="3" max="3" width="16.42578125" bestFit="1" customWidth="1"/>
    <col min="4" max="4" width="16.5703125" customWidth="1"/>
    <col min="5" max="5" width="13.7109375" customWidth="1"/>
    <col min="7" max="7" width="15.28515625" customWidth="1"/>
  </cols>
  <sheetData>
    <row r="4" spans="2:4">
      <c r="B4" s="509" t="s">
        <v>81</v>
      </c>
      <c r="C4" s="509"/>
      <c r="D4" s="509"/>
    </row>
    <row r="5" spans="2:4">
      <c r="B5" s="508" t="s">
        <v>789</v>
      </c>
      <c r="C5" s="508"/>
      <c r="D5" s="508"/>
    </row>
    <row r="6" spans="2:4">
      <c r="B6" s="509" t="s">
        <v>82</v>
      </c>
      <c r="C6" s="509"/>
      <c r="D6" s="509"/>
    </row>
    <row r="9" spans="2:4" ht="24">
      <c r="B9" s="155"/>
      <c r="C9" s="145" t="s">
        <v>40</v>
      </c>
      <c r="D9" s="156" t="s">
        <v>41</v>
      </c>
    </row>
    <row r="10" spans="2:4">
      <c r="B10" s="74" t="s">
        <v>83</v>
      </c>
      <c r="C10" s="75"/>
      <c r="D10" s="75"/>
    </row>
    <row r="11" spans="2:4">
      <c r="B11" s="76" t="s">
        <v>84</v>
      </c>
      <c r="C11" s="77">
        <f>+'Estado de Resultados'!C8+'Estado de Resultados'!C24</f>
        <v>2026654761.1600037</v>
      </c>
      <c r="D11" s="77">
        <v>2329275093.2999878</v>
      </c>
    </row>
    <row r="12" spans="2:4">
      <c r="B12" s="76" t="s">
        <v>85</v>
      </c>
      <c r="C12" s="77">
        <f>-'Notas a los EEFF'!C558-'Notas a los EEFF'!C559-'Notas a los EEFF'!C560+'Balance General'!F22-'Balance General'!G22</f>
        <v>-644655025.98000002</v>
      </c>
      <c r="D12" s="77">
        <v>-562393207.88</v>
      </c>
    </row>
    <row r="13" spans="2:4">
      <c r="B13" s="76" t="s">
        <v>86</v>
      </c>
      <c r="C13" s="77">
        <f>+'Estado de Resultados'!C42+'Estado de Resultados'!C46+'Estado de Resultados'!C47+'Estado de Resultados'!C50</f>
        <v>15936986.519999981</v>
      </c>
      <c r="D13" s="77">
        <v>289126581.17000002</v>
      </c>
    </row>
    <row r="14" spans="2:4">
      <c r="B14" s="510" t="s">
        <v>87</v>
      </c>
      <c r="C14" s="511">
        <f>SUM(C11:C13)</f>
        <v>1397936721.7000036</v>
      </c>
      <c r="D14" s="511">
        <f>SUM(D11:D13)</f>
        <v>2056008466.5899878</v>
      </c>
    </row>
    <row r="15" spans="2:4">
      <c r="B15" s="510"/>
      <c r="C15" s="511"/>
      <c r="D15" s="511"/>
    </row>
    <row r="16" spans="2:4">
      <c r="B16" s="78" t="s">
        <v>88</v>
      </c>
      <c r="C16" s="79"/>
      <c r="D16" s="81"/>
    </row>
    <row r="17" spans="2:4">
      <c r="B17" s="76" t="s">
        <v>89</v>
      </c>
      <c r="C17" s="77">
        <f>+'Balance General'!D24-'Balance General'!C24</f>
        <v>8183399.8400000036</v>
      </c>
      <c r="D17" s="77">
        <v>-25496236.980000004</v>
      </c>
    </row>
    <row r="18" spans="2:4">
      <c r="B18" s="78" t="s">
        <v>90</v>
      </c>
      <c r="C18" s="82"/>
      <c r="D18" s="183"/>
    </row>
    <row r="19" spans="2:4">
      <c r="B19" s="76" t="s">
        <v>91</v>
      </c>
      <c r="C19" s="77">
        <v>-503232541.94999999</v>
      </c>
      <c r="D19" s="77">
        <v>-715597638</v>
      </c>
    </row>
    <row r="20" spans="2:4">
      <c r="B20" s="78" t="s">
        <v>92</v>
      </c>
      <c r="C20" s="80"/>
      <c r="D20" s="77"/>
    </row>
    <row r="21" spans="2:4">
      <c r="B21" s="76" t="s">
        <v>321</v>
      </c>
      <c r="C21" s="77">
        <f>-'Estado de Resultados'!C38-'Estado de Resultados'!C52-'Estado de Resultados'!C53</f>
        <v>-21579214</v>
      </c>
      <c r="D21" s="77">
        <v>0</v>
      </c>
    </row>
    <row r="22" spans="2:4">
      <c r="B22" s="78" t="s">
        <v>93</v>
      </c>
      <c r="C22" s="214">
        <f>SUM(C14:C21)</f>
        <v>881308365.59000349</v>
      </c>
      <c r="D22" s="214">
        <f>SUM(D14:D21)</f>
        <v>1314914591.6099877</v>
      </c>
    </row>
    <row r="23" spans="2:4">
      <c r="B23" s="74" t="s">
        <v>94</v>
      </c>
      <c r="C23" s="75"/>
      <c r="D23" s="184"/>
    </row>
    <row r="24" spans="2:4">
      <c r="B24" s="76" t="s">
        <v>95</v>
      </c>
      <c r="C24" s="77">
        <f>+'Balance General'!D16-'Balance General'!C16</f>
        <v>253124965.12</v>
      </c>
      <c r="D24" s="77">
        <v>83590496.889999986</v>
      </c>
    </row>
    <row r="25" spans="2:4">
      <c r="B25" s="76" t="s">
        <v>96</v>
      </c>
      <c r="C25" s="77">
        <f>+'Balance General'!D33-'Balance General'!C33+'Balance General'!D34-'Balance General'!C34</f>
        <v>-20485669.450000003</v>
      </c>
      <c r="D25" s="77">
        <v>88170065.189999998</v>
      </c>
    </row>
    <row r="26" spans="2:4">
      <c r="B26" s="76" t="s">
        <v>97</v>
      </c>
      <c r="C26" s="77">
        <v>0</v>
      </c>
      <c r="D26" s="77">
        <v>0</v>
      </c>
    </row>
    <row r="27" spans="2:4">
      <c r="B27" s="76" t="s">
        <v>319</v>
      </c>
      <c r="C27" s="77">
        <f>+'Balance General'!D40+'Balance General'!D41-'Balance General'!C40-'Balance General'!C41</f>
        <v>-750945.85723364353</v>
      </c>
      <c r="D27" s="77">
        <v>-6835262.6332736015</v>
      </c>
    </row>
    <row r="28" spans="2:4">
      <c r="B28" s="76" t="s">
        <v>435</v>
      </c>
      <c r="C28" s="77">
        <f>-'Notas a los EEFF'!D281</f>
        <v>-58041960.400000006</v>
      </c>
      <c r="D28" s="77">
        <v>29919763.399999999</v>
      </c>
    </row>
    <row r="29" spans="2:4" ht="15.75" customHeight="1">
      <c r="B29" s="76" t="s">
        <v>98</v>
      </c>
      <c r="C29" s="77">
        <f>+'Balance General'!D17-'Balance General'!C17-'Notas a los EEFF'!C530</f>
        <v>-1566277833.5900002</v>
      </c>
      <c r="D29" s="77">
        <v>-304642231.19000006</v>
      </c>
    </row>
    <row r="30" spans="2:4">
      <c r="B30" s="76" t="s">
        <v>99</v>
      </c>
      <c r="C30" s="77">
        <f>+'Notas a los EEFF'!C589</f>
        <v>62749860</v>
      </c>
      <c r="D30" s="77">
        <v>52405856</v>
      </c>
    </row>
    <row r="31" spans="2:4">
      <c r="B31" s="76" t="s">
        <v>100</v>
      </c>
      <c r="C31" s="77">
        <f>+'Balance General'!C25-'Balance General'!D25</f>
        <v>-8183399.8400000036</v>
      </c>
      <c r="D31" s="77">
        <v>25496236.980000004</v>
      </c>
    </row>
    <row r="32" spans="2:4">
      <c r="B32" s="78" t="s">
        <v>101</v>
      </c>
      <c r="C32" s="81">
        <f>SUM(C24:C31)</f>
        <v>-1337864984.0172336</v>
      </c>
      <c r="D32" s="81">
        <f>SUM(D24:D31)</f>
        <v>-31895075.363273665</v>
      </c>
    </row>
    <row r="33" spans="2:4">
      <c r="B33" s="74" t="s">
        <v>102</v>
      </c>
      <c r="C33" s="75"/>
      <c r="D33" s="184"/>
    </row>
    <row r="34" spans="2:4">
      <c r="B34" s="76" t="s">
        <v>103</v>
      </c>
      <c r="C34" s="77">
        <f>+'Balance General'!F44-'Balance General'!G44+'Balance General'!F45-'Balance General'!G45+'Balance General'!F46-'Balance General'!G46</f>
        <v>557110796</v>
      </c>
      <c r="D34" s="77">
        <v>0</v>
      </c>
    </row>
    <row r="35" spans="2:4">
      <c r="B35" s="76" t="s">
        <v>104</v>
      </c>
      <c r="C35" s="223">
        <f>+'Balance General'!F17-'Balance General'!G17+'Balance General'!F18-'Balance General'!G18-'Notas a los EEFF'!C621</f>
        <v>0</v>
      </c>
      <c r="D35" s="77">
        <v>-222733529.09</v>
      </c>
    </row>
    <row r="36" spans="2:4" hidden="1">
      <c r="B36" s="76" t="s">
        <v>105</v>
      </c>
      <c r="C36" s="77">
        <v>0</v>
      </c>
      <c r="D36" s="77">
        <v>0</v>
      </c>
    </row>
    <row r="37" spans="2:4">
      <c r="B37" s="76" t="s">
        <v>106</v>
      </c>
      <c r="C37" s="223">
        <f>+'Estado de Resultados'!C49</f>
        <v>0</v>
      </c>
      <c r="D37" s="77">
        <v>-21352707.09</v>
      </c>
    </row>
    <row r="38" spans="2:4">
      <c r="B38" s="76" t="s">
        <v>434</v>
      </c>
      <c r="C38" s="223">
        <f>+'Balance General'!F49-'Balance General'!G49</f>
        <v>8754707</v>
      </c>
      <c r="D38" s="223">
        <v>-47130444</v>
      </c>
    </row>
    <row r="39" spans="2:4">
      <c r="B39" s="78" t="s">
        <v>107</v>
      </c>
      <c r="C39" s="81">
        <f>SUM(C34:C38)</f>
        <v>565865503</v>
      </c>
      <c r="D39" s="81">
        <f>SUM(D34:D38)</f>
        <v>-291216680.18000001</v>
      </c>
    </row>
    <row r="40" spans="2:4">
      <c r="B40" s="78" t="s">
        <v>325</v>
      </c>
      <c r="C40" s="81">
        <f>+'Notas a los EEFF'!D72+'Notas a los EEFF'!D73</f>
        <v>-346049291.36000001</v>
      </c>
      <c r="D40" s="81">
        <v>61507912.270000003</v>
      </c>
    </row>
    <row r="41" spans="2:4">
      <c r="B41" s="78" t="s">
        <v>108</v>
      </c>
      <c r="C41" s="81">
        <f>+C22+C32+C39+C40</f>
        <v>-236740406.78723013</v>
      </c>
      <c r="D41" s="81">
        <f>+D22+D32+D39+D40</f>
        <v>1053310748.336714</v>
      </c>
    </row>
    <row r="42" spans="2:4">
      <c r="B42" s="78" t="s">
        <v>109</v>
      </c>
      <c r="C42" s="81">
        <f>+'Balance General'!D11</f>
        <v>1311163647.2199998</v>
      </c>
      <c r="D42" s="81">
        <v>257852899</v>
      </c>
    </row>
    <row r="43" spans="2:4">
      <c r="B43" s="78" t="s">
        <v>110</v>
      </c>
      <c r="C43" s="81">
        <f>+C41+C42</f>
        <v>1074423240.4327698</v>
      </c>
      <c r="D43" s="203">
        <f>+D41+D42</f>
        <v>1311163647.336714</v>
      </c>
    </row>
    <row r="44" spans="2:4">
      <c r="C44" s="241"/>
      <c r="D44" s="9"/>
    </row>
    <row r="45" spans="2:4">
      <c r="B45" s="138" t="s">
        <v>348</v>
      </c>
      <c r="C45" s="139"/>
      <c r="D45" s="140"/>
    </row>
    <row r="47" spans="2:4">
      <c r="C47" s="9"/>
    </row>
  </sheetData>
  <mergeCells count="6">
    <mergeCell ref="B5:D5"/>
    <mergeCell ref="B4:D4"/>
    <mergeCell ref="B6:D6"/>
    <mergeCell ref="B14:B15"/>
    <mergeCell ref="C14:C15"/>
    <mergeCell ref="D14:D15"/>
  </mergeCells>
  <pageMargins left="0.70866141732283472" right="0.70866141732283472" top="1.1417322834645669" bottom="0.74803149606299213" header="0.31496062992125984" footer="0.31496062992125984"/>
  <pageSetup scale="77"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4:M887"/>
  <sheetViews>
    <sheetView showGridLines="0" tabSelected="1" topLeftCell="A621" zoomScale="102" zoomScaleNormal="102" workbookViewId="0">
      <selection activeCell="C641" sqref="C641"/>
    </sheetView>
  </sheetViews>
  <sheetFormatPr baseColWidth="10" defaultColWidth="10.7109375" defaultRowHeight="15"/>
  <cols>
    <col min="1" max="1" width="14.28515625" style="83" bestFit="1" customWidth="1"/>
    <col min="2" max="2" width="89.42578125" bestFit="1" customWidth="1"/>
    <col min="3" max="3" width="42.42578125" bestFit="1" customWidth="1"/>
    <col min="4" max="4" width="22.42578125" bestFit="1" customWidth="1"/>
    <col min="5" max="5" width="24.28515625" bestFit="1" customWidth="1"/>
    <col min="6" max="6" width="27.42578125" bestFit="1" customWidth="1"/>
    <col min="7" max="7" width="26.42578125" bestFit="1" customWidth="1"/>
    <col min="8" max="8" width="30.7109375" bestFit="1" customWidth="1"/>
    <col min="9" max="9" width="29" bestFit="1" customWidth="1"/>
    <col min="10" max="10" width="17.140625" bestFit="1" customWidth="1"/>
    <col min="11" max="11" width="24.7109375" bestFit="1" customWidth="1"/>
    <col min="12" max="12" width="19.42578125" bestFit="1" customWidth="1"/>
    <col min="13" max="13" width="15" bestFit="1" customWidth="1"/>
  </cols>
  <sheetData>
    <row r="4" spans="1:2">
      <c r="A4"/>
      <c r="B4" s="153" t="s">
        <v>132</v>
      </c>
    </row>
    <row r="5" spans="1:2" ht="9.6" customHeight="1">
      <c r="A5"/>
    </row>
    <row r="6" spans="1:2">
      <c r="A6" s="154" t="s">
        <v>133</v>
      </c>
      <c r="B6" s="3" t="s">
        <v>384</v>
      </c>
    </row>
    <row r="7" spans="1:2">
      <c r="A7" s="4"/>
    </row>
    <row r="8" spans="1:2" ht="45">
      <c r="A8"/>
      <c r="B8" s="4" t="s">
        <v>786</v>
      </c>
    </row>
    <row r="9" spans="1:2" ht="4.9000000000000004" customHeight="1">
      <c r="A9"/>
      <c r="B9" s="4" t="s">
        <v>343</v>
      </c>
    </row>
    <row r="10" spans="1:2">
      <c r="A10"/>
    </row>
    <row r="11" spans="1:2">
      <c r="A11" s="154" t="s">
        <v>134</v>
      </c>
      <c r="B11" s="3" t="s">
        <v>385</v>
      </c>
    </row>
    <row r="12" spans="1:2">
      <c r="A12"/>
    </row>
    <row r="13" spans="1:2">
      <c r="A13"/>
      <c r="B13" s="154" t="s">
        <v>135</v>
      </c>
    </row>
    <row r="14" spans="1:2" ht="30">
      <c r="A14"/>
      <c r="B14" s="154" t="s">
        <v>386</v>
      </c>
    </row>
    <row r="15" spans="1:2" ht="90">
      <c r="A15"/>
      <c r="B15" s="4" t="s">
        <v>387</v>
      </c>
    </row>
    <row r="16" spans="1:2" ht="30">
      <c r="A16"/>
      <c r="B16" s="4" t="s">
        <v>136</v>
      </c>
    </row>
    <row r="17" spans="1:2" ht="90">
      <c r="A17"/>
      <c r="B17" s="4" t="s">
        <v>137</v>
      </c>
    </row>
    <row r="18" spans="1:2">
      <c r="A18"/>
    </row>
    <row r="19" spans="1:2">
      <c r="A19"/>
      <c r="B19" s="154" t="s">
        <v>138</v>
      </c>
    </row>
    <row r="20" spans="1:2">
      <c r="A20"/>
      <c r="B20" s="4" t="s">
        <v>388</v>
      </c>
    </row>
    <row r="21" spans="1:2" ht="47.65" customHeight="1">
      <c r="A21"/>
    </row>
    <row r="22" spans="1:2">
      <c r="A22"/>
    </row>
    <row r="23" spans="1:2">
      <c r="A23" s="154" t="s">
        <v>139</v>
      </c>
      <c r="B23" s="3" t="s">
        <v>389</v>
      </c>
    </row>
    <row r="24" spans="1:2" ht="45">
      <c r="A24"/>
      <c r="B24" s="218" t="s">
        <v>787</v>
      </c>
    </row>
    <row r="25" spans="1:2">
      <c r="A25"/>
    </row>
    <row r="26" spans="1:2" ht="120">
      <c r="A26"/>
      <c r="B26" s="4" t="s">
        <v>390</v>
      </c>
    </row>
    <row r="27" spans="1:2">
      <c r="A27"/>
    </row>
    <row r="28" spans="1:2" ht="30">
      <c r="A28"/>
      <c r="B28" s="4" t="s">
        <v>391</v>
      </c>
    </row>
    <row r="29" spans="1:2" ht="30">
      <c r="A29"/>
      <c r="B29" s="4" t="s">
        <v>140</v>
      </c>
    </row>
    <row r="30" spans="1:2">
      <c r="A30"/>
    </row>
    <row r="31" spans="1:2" ht="30">
      <c r="A31"/>
      <c r="B31" s="4" t="s">
        <v>392</v>
      </c>
    </row>
    <row r="32" spans="1:2">
      <c r="A32"/>
      <c r="B32" s="4"/>
    </row>
    <row r="33" spans="1:5" ht="90">
      <c r="A33"/>
      <c r="B33" s="4" t="s">
        <v>141</v>
      </c>
    </row>
    <row r="34" spans="1:5">
      <c r="A34"/>
    </row>
    <row r="35" spans="1:5">
      <c r="A35"/>
      <c r="B35" s="4" t="s">
        <v>142</v>
      </c>
    </row>
    <row r="36" spans="1:5">
      <c r="A36"/>
    </row>
    <row r="37" spans="1:5">
      <c r="A37" s="154" t="s">
        <v>143</v>
      </c>
      <c r="B37" s="3" t="s">
        <v>393</v>
      </c>
    </row>
    <row r="38" spans="1:5">
      <c r="A38"/>
      <c r="B38" s="4" t="s">
        <v>474</v>
      </c>
    </row>
    <row r="40" spans="1:5">
      <c r="A40"/>
    </row>
    <row r="41" spans="1:5">
      <c r="A41"/>
    </row>
    <row r="42" spans="1:5">
      <c r="A42"/>
    </row>
    <row r="43" spans="1:5">
      <c r="A43" s="122" t="s">
        <v>370</v>
      </c>
      <c r="B43" s="123" t="s">
        <v>369</v>
      </c>
      <c r="C43" s="124"/>
      <c r="D43" s="124"/>
      <c r="E43" s="124"/>
    </row>
    <row r="44" spans="1:5">
      <c r="A44"/>
      <c r="B44" s="123" t="s">
        <v>144</v>
      </c>
      <c r="C44" s="124"/>
      <c r="D44" s="124"/>
      <c r="E44" s="124"/>
    </row>
    <row r="45" spans="1:5" ht="37.5" customHeight="1">
      <c r="A45"/>
      <c r="B45" s="437" t="s">
        <v>145</v>
      </c>
      <c r="C45" s="437"/>
      <c r="D45" s="437"/>
      <c r="E45" s="437"/>
    </row>
    <row r="46" spans="1:5">
      <c r="A46"/>
    </row>
    <row r="47" spans="1:5">
      <c r="A47"/>
      <c r="B47" s="443"/>
      <c r="C47" s="144" t="s">
        <v>146</v>
      </c>
      <c r="D47" s="144" t="s">
        <v>148</v>
      </c>
    </row>
    <row r="48" spans="1:5" ht="12.6" customHeight="1">
      <c r="A48"/>
      <c r="B48" s="443"/>
      <c r="C48" s="144" t="s">
        <v>147</v>
      </c>
      <c r="D48" s="144" t="s">
        <v>149</v>
      </c>
    </row>
    <row r="49" spans="2:9">
      <c r="B49" s="36" t="s">
        <v>150</v>
      </c>
      <c r="C49" s="63">
        <v>6575.71</v>
      </c>
      <c r="D49" s="63">
        <v>7831.26</v>
      </c>
    </row>
    <row r="50" spans="2:9">
      <c r="B50" s="36" t="s">
        <v>151</v>
      </c>
      <c r="C50" s="63">
        <v>6575.71</v>
      </c>
      <c r="D50" s="63">
        <v>7831.26</v>
      </c>
    </row>
    <row r="52" spans="2:9">
      <c r="B52" s="123" t="s">
        <v>152</v>
      </c>
    </row>
    <row r="53" spans="2:9">
      <c r="B53" s="124"/>
    </row>
    <row r="54" spans="2:9">
      <c r="B54" s="448" t="s">
        <v>153</v>
      </c>
      <c r="C54" s="448"/>
    </row>
    <row r="56" spans="2:9" ht="15" customHeight="1">
      <c r="B56" s="445" t="s">
        <v>154</v>
      </c>
      <c r="C56" s="445" t="s">
        <v>155</v>
      </c>
      <c r="D56" s="445" t="s">
        <v>156</v>
      </c>
      <c r="E56" s="444" t="s">
        <v>157</v>
      </c>
      <c r="F56" s="444" t="s">
        <v>158</v>
      </c>
      <c r="G56" s="444" t="s">
        <v>305</v>
      </c>
      <c r="H56" s="444" t="s">
        <v>159</v>
      </c>
      <c r="I56" s="444" t="s">
        <v>304</v>
      </c>
    </row>
    <row r="57" spans="2:9">
      <c r="B57" s="446"/>
      <c r="C57" s="446"/>
      <c r="D57" s="446"/>
      <c r="E57" s="444"/>
      <c r="F57" s="444"/>
      <c r="G57" s="444"/>
      <c r="H57" s="444"/>
      <c r="I57" s="444"/>
    </row>
    <row r="58" spans="2:9">
      <c r="B58" s="447"/>
      <c r="C58" s="447"/>
      <c r="D58" s="447"/>
      <c r="E58" s="444"/>
      <c r="F58" s="444"/>
      <c r="G58" s="444"/>
      <c r="H58" s="444"/>
      <c r="I58" s="444"/>
    </row>
    <row r="59" spans="2:9">
      <c r="B59" s="65" t="s">
        <v>160</v>
      </c>
      <c r="C59" s="66"/>
      <c r="D59" s="95"/>
      <c r="E59" s="66"/>
      <c r="F59" s="66"/>
      <c r="G59" s="66"/>
      <c r="H59" s="66"/>
      <c r="I59" s="66"/>
    </row>
    <row r="60" spans="2:9">
      <c r="B60" s="67" t="s">
        <v>161</v>
      </c>
      <c r="C60" s="66"/>
      <c r="D60" s="95"/>
      <c r="E60" s="66"/>
      <c r="F60" s="66"/>
      <c r="G60" s="95"/>
      <c r="H60" s="66"/>
      <c r="I60" s="66"/>
    </row>
    <row r="61" spans="2:9">
      <c r="B61" s="68" t="s">
        <v>397</v>
      </c>
      <c r="C61" s="69" t="s">
        <v>338</v>
      </c>
      <c r="D61" s="64">
        <v>143239.56</v>
      </c>
      <c r="E61" s="64">
        <f>+$C$49</f>
        <v>6575.71</v>
      </c>
      <c r="F61" s="70">
        <f>+D61*E61</f>
        <v>941901807.08759999</v>
      </c>
      <c r="G61" s="64">
        <v>31982.39</v>
      </c>
      <c r="H61" s="64">
        <f>+$D$49</f>
        <v>7831.26</v>
      </c>
      <c r="I61" s="70">
        <f>+G61*H61</f>
        <v>250462411.51140001</v>
      </c>
    </row>
    <row r="62" spans="2:9">
      <c r="B62" s="68" t="s">
        <v>398</v>
      </c>
      <c r="C62" s="69" t="s">
        <v>338</v>
      </c>
      <c r="D62" s="64">
        <v>0</v>
      </c>
      <c r="E62" s="64">
        <f>+$C$49</f>
        <v>6575.71</v>
      </c>
      <c r="F62" s="70">
        <f>+D62*E62</f>
        <v>0</v>
      </c>
      <c r="G62" s="64">
        <v>7008.18</v>
      </c>
      <c r="H62" s="64">
        <f>+$D$49</f>
        <v>7831.26</v>
      </c>
      <c r="I62" s="70">
        <f>+G62*H62</f>
        <v>54882879.706800006</v>
      </c>
    </row>
    <row r="63" spans="2:9">
      <c r="B63" s="68" t="s">
        <v>791</v>
      </c>
      <c r="C63" s="69" t="s">
        <v>338</v>
      </c>
      <c r="D63" s="64">
        <v>5482.11</v>
      </c>
      <c r="E63" s="64">
        <f>+$C$49</f>
        <v>6575.71</v>
      </c>
      <c r="F63" s="70">
        <f>+D63*E63</f>
        <v>36048765.548099995</v>
      </c>
      <c r="G63" s="64"/>
      <c r="H63" s="64">
        <f>+$D$49</f>
        <v>7831.26</v>
      </c>
      <c r="I63" s="70">
        <f>+G63*H63</f>
        <v>0</v>
      </c>
    </row>
    <row r="64" spans="2:9">
      <c r="B64" s="68" t="s">
        <v>536</v>
      </c>
      <c r="C64" s="69" t="s">
        <v>338</v>
      </c>
      <c r="D64" s="64">
        <v>1022.46</v>
      </c>
      <c r="E64" s="64">
        <f>+$C$49</f>
        <v>6575.71</v>
      </c>
      <c r="F64" s="70">
        <f>+D64*E64</f>
        <v>6723400.4466000004</v>
      </c>
      <c r="G64" s="64">
        <v>1022.46</v>
      </c>
      <c r="H64" s="64">
        <f>+$D$49</f>
        <v>7831.26</v>
      </c>
      <c r="I64" s="70">
        <f>+G64*H64</f>
        <v>8007150.0996000003</v>
      </c>
    </row>
    <row r="65" spans="2:9">
      <c r="B65" s="67" t="s">
        <v>347</v>
      </c>
      <c r="C65" s="69"/>
      <c r="D65" s="64"/>
      <c r="E65" s="64"/>
      <c r="F65" s="70"/>
      <c r="G65" s="64"/>
      <c r="H65" s="64"/>
      <c r="I65" s="70"/>
    </row>
    <row r="66" spans="2:9">
      <c r="B66" s="68" t="s">
        <v>399</v>
      </c>
      <c r="C66" s="69" t="s">
        <v>338</v>
      </c>
      <c r="D66" s="64">
        <v>0</v>
      </c>
      <c r="E66" s="64">
        <f>+C50</f>
        <v>6575.71</v>
      </c>
      <c r="F66" s="70">
        <f>+D66*E66</f>
        <v>0</v>
      </c>
      <c r="G66" s="64">
        <v>0</v>
      </c>
      <c r="H66" s="64">
        <f>+D50</f>
        <v>7831.26</v>
      </c>
      <c r="I66" s="70">
        <f>+G66*H66</f>
        <v>0</v>
      </c>
    </row>
    <row r="67" spans="2:9">
      <c r="B67" s="68"/>
      <c r="C67" s="69"/>
      <c r="D67" s="64"/>
      <c r="E67" s="64"/>
      <c r="F67" s="70"/>
      <c r="G67" s="64"/>
      <c r="H67" s="64"/>
      <c r="I67" s="70"/>
    </row>
    <row r="69" spans="2:9">
      <c r="B69" s="421" t="s">
        <v>162</v>
      </c>
      <c r="C69" s="421"/>
    </row>
    <row r="71" spans="2:9" ht="22.5">
      <c r="B71" s="152" t="s">
        <v>163</v>
      </c>
      <c r="C71" s="152" t="s">
        <v>164</v>
      </c>
      <c r="D71" s="152" t="s">
        <v>165</v>
      </c>
      <c r="E71" s="152" t="s">
        <v>166</v>
      </c>
      <c r="F71" s="152" t="s">
        <v>167</v>
      </c>
    </row>
    <row r="72" spans="2:9">
      <c r="B72" s="185" t="s">
        <v>423</v>
      </c>
      <c r="C72" s="103">
        <f>+C49</f>
        <v>6575.71</v>
      </c>
      <c r="D72" s="104">
        <v>63044100.060000002</v>
      </c>
      <c r="E72" s="105">
        <f>+D49</f>
        <v>7831.26</v>
      </c>
      <c r="F72" s="104">
        <v>95718945.700000003</v>
      </c>
    </row>
    <row r="73" spans="2:9">
      <c r="B73" s="185" t="s">
        <v>424</v>
      </c>
      <c r="C73" s="103">
        <f>+C49</f>
        <v>6575.71</v>
      </c>
      <c r="D73" s="104">
        <v>-409093391.42000002</v>
      </c>
      <c r="E73" s="110">
        <f>+D50</f>
        <v>7831.26</v>
      </c>
      <c r="F73" s="104">
        <v>-34211033.43</v>
      </c>
    </row>
    <row r="74" spans="2:9">
      <c r="B74" s="71"/>
      <c r="C74" s="64"/>
      <c r="D74" s="70"/>
      <c r="E74" s="72"/>
      <c r="F74" s="73"/>
    </row>
    <row r="75" spans="2:9">
      <c r="B75" s="71"/>
      <c r="C75" s="64"/>
      <c r="D75" s="70"/>
      <c r="E75" s="72"/>
      <c r="F75" s="73"/>
    </row>
    <row r="76" spans="2:9">
      <c r="B76" s="5"/>
      <c r="C76" s="6"/>
      <c r="D76" s="7"/>
      <c r="E76" s="6"/>
      <c r="F76" s="7"/>
    </row>
    <row r="77" spans="2:9">
      <c r="B77" s="5"/>
      <c r="C77" s="6"/>
      <c r="D77" s="7"/>
      <c r="E77" s="6"/>
      <c r="F77" s="7"/>
    </row>
    <row r="80" spans="2:9" ht="20.65" customHeight="1">
      <c r="B80" s="123" t="s">
        <v>168</v>
      </c>
      <c r="C80" s="124"/>
      <c r="D80" s="124"/>
      <c r="E80" s="124"/>
    </row>
    <row r="81" spans="2:5">
      <c r="B81" s="419" t="s">
        <v>169</v>
      </c>
      <c r="C81" s="419"/>
      <c r="D81" s="419"/>
      <c r="E81" s="419"/>
    </row>
    <row r="83" spans="2:5">
      <c r="B83" s="440" t="s">
        <v>170</v>
      </c>
      <c r="C83" s="440" t="s">
        <v>171</v>
      </c>
      <c r="D83" s="441" t="s">
        <v>172</v>
      </c>
    </row>
    <row r="84" spans="2:5">
      <c r="B84" s="440"/>
      <c r="C84" s="440"/>
      <c r="D84" s="441"/>
    </row>
    <row r="85" spans="2:5">
      <c r="B85" s="25" t="s">
        <v>501</v>
      </c>
      <c r="C85" s="26">
        <v>0</v>
      </c>
      <c r="D85" s="26">
        <v>0</v>
      </c>
    </row>
    <row r="86" spans="2:5">
      <c r="B86" s="25" t="s">
        <v>400</v>
      </c>
      <c r="C86" s="24">
        <v>2269536</v>
      </c>
      <c r="D86" s="24">
        <v>21122873</v>
      </c>
    </row>
    <row r="87" spans="2:5">
      <c r="B87" s="25" t="s">
        <v>397</v>
      </c>
      <c r="C87" s="24">
        <v>941901807.09000003</v>
      </c>
      <c r="D87" s="24">
        <v>250462411.62</v>
      </c>
    </row>
    <row r="88" spans="2:5">
      <c r="B88" s="25" t="s">
        <v>401</v>
      </c>
      <c r="C88" s="24">
        <v>67959374</v>
      </c>
      <c r="D88" s="24">
        <v>900592426</v>
      </c>
    </row>
    <row r="89" spans="2:5">
      <c r="B89" s="25" t="s">
        <v>479</v>
      </c>
      <c r="C89" s="24">
        <v>48597</v>
      </c>
      <c r="D89" s="24">
        <v>48597</v>
      </c>
    </row>
    <row r="90" spans="2:5">
      <c r="B90" s="25" t="s">
        <v>509</v>
      </c>
      <c r="C90" s="24">
        <v>0</v>
      </c>
      <c r="D90" s="24">
        <v>158616</v>
      </c>
    </row>
    <row r="91" spans="2:5">
      <c r="B91" s="25" t="s">
        <v>402</v>
      </c>
      <c r="C91" s="24">
        <v>515245</v>
      </c>
      <c r="D91" s="24">
        <v>515245</v>
      </c>
    </row>
    <row r="92" spans="2:5">
      <c r="B92" s="25" t="s">
        <v>510</v>
      </c>
      <c r="C92" s="24">
        <v>0</v>
      </c>
      <c r="D92" s="24">
        <v>0</v>
      </c>
    </row>
    <row r="93" spans="2:5">
      <c r="B93" s="25" t="s">
        <v>403</v>
      </c>
      <c r="C93" s="24">
        <v>0</v>
      </c>
      <c r="D93" s="24">
        <v>17679318</v>
      </c>
    </row>
    <row r="94" spans="2:5">
      <c r="B94" s="25" t="s">
        <v>404</v>
      </c>
      <c r="C94" s="24">
        <v>0</v>
      </c>
      <c r="D94" s="24">
        <v>19457319</v>
      </c>
    </row>
    <row r="95" spans="2:5">
      <c r="B95" s="25" t="s">
        <v>398</v>
      </c>
      <c r="C95" s="24">
        <v>0</v>
      </c>
      <c r="D95" s="24">
        <v>54882880</v>
      </c>
    </row>
    <row r="96" spans="2:5">
      <c r="B96" s="25" t="s">
        <v>406</v>
      </c>
      <c r="C96" s="24">
        <v>0</v>
      </c>
      <c r="D96" s="24">
        <v>27493647</v>
      </c>
    </row>
    <row r="97" spans="2:9">
      <c r="B97" s="25" t="s">
        <v>546</v>
      </c>
      <c r="C97" s="24">
        <v>0</v>
      </c>
      <c r="D97" s="24">
        <v>5000000</v>
      </c>
    </row>
    <row r="98" spans="2:9">
      <c r="B98" s="25" t="s">
        <v>792</v>
      </c>
      <c r="C98" s="24">
        <v>36048765.890000001</v>
      </c>
      <c r="D98" s="24"/>
    </row>
    <row r="99" spans="2:9">
      <c r="B99" s="25" t="s">
        <v>405</v>
      </c>
      <c r="C99" s="24">
        <v>25679915.449999999</v>
      </c>
      <c r="D99" s="24">
        <v>13750314.6</v>
      </c>
    </row>
    <row r="100" spans="2:9">
      <c r="B100" s="27" t="s">
        <v>173</v>
      </c>
      <c r="C100" s="28">
        <f>SUM(C85:C99)</f>
        <v>1074423240.4300001</v>
      </c>
      <c r="D100" s="28">
        <f>SUM(D85:D99)</f>
        <v>1311163647.2199998</v>
      </c>
    </row>
    <row r="102" spans="2:9">
      <c r="B102" s="123" t="s">
        <v>174</v>
      </c>
      <c r="C102" s="124"/>
      <c r="D102" s="124"/>
    </row>
    <row r="103" spans="2:9">
      <c r="B103" s="419" t="s">
        <v>175</v>
      </c>
      <c r="C103" s="419"/>
      <c r="D103" s="419"/>
    </row>
    <row r="105" spans="2:9">
      <c r="B105" s="431" t="s">
        <v>176</v>
      </c>
      <c r="C105" s="431"/>
      <c r="D105" s="431"/>
      <c r="E105" s="431"/>
      <c r="F105" s="431"/>
      <c r="G105" s="431" t="s">
        <v>177</v>
      </c>
      <c r="H105" s="431"/>
      <c r="I105" s="431"/>
    </row>
    <row r="106" spans="2:9" ht="18" customHeight="1">
      <c r="B106" s="85"/>
      <c r="C106" s="85" t="s">
        <v>178</v>
      </c>
      <c r="D106" s="449" t="s">
        <v>179</v>
      </c>
      <c r="E106" s="449" t="s">
        <v>180</v>
      </c>
      <c r="F106" s="85" t="s">
        <v>181</v>
      </c>
      <c r="G106" s="85"/>
      <c r="H106" s="85"/>
      <c r="I106" s="85" t="s">
        <v>183</v>
      </c>
    </row>
    <row r="107" spans="2:9">
      <c r="B107" s="85" t="s">
        <v>184</v>
      </c>
      <c r="C107" s="85" t="s">
        <v>185</v>
      </c>
      <c r="D107" s="449"/>
      <c r="E107" s="449"/>
      <c r="F107" s="85" t="s">
        <v>186</v>
      </c>
      <c r="G107" s="85" t="s">
        <v>114</v>
      </c>
      <c r="H107" s="85" t="s">
        <v>182</v>
      </c>
      <c r="I107" s="85" t="s">
        <v>187</v>
      </c>
    </row>
    <row r="108" spans="2:9">
      <c r="B108" s="86" t="s">
        <v>188</v>
      </c>
      <c r="C108" s="87"/>
      <c r="D108" s="88"/>
      <c r="E108" s="89"/>
      <c r="F108" s="89"/>
      <c r="G108" s="88"/>
      <c r="H108" s="88"/>
      <c r="I108" s="88"/>
    </row>
    <row r="109" spans="2:9">
      <c r="B109" s="45" t="s">
        <v>339</v>
      </c>
      <c r="C109" s="52" t="s">
        <v>340</v>
      </c>
      <c r="D109" s="52">
        <v>1</v>
      </c>
      <c r="E109" s="37">
        <v>600000000</v>
      </c>
      <c r="F109" s="37">
        <v>1560000000</v>
      </c>
      <c r="G109" s="94">
        <f>+E109*42</f>
        <v>25200000000</v>
      </c>
      <c r="H109" s="94">
        <v>0</v>
      </c>
      <c r="I109" s="94">
        <v>0</v>
      </c>
    </row>
    <row r="110" spans="2:9">
      <c r="B110" s="45"/>
      <c r="C110" s="52"/>
      <c r="D110" s="52"/>
      <c r="E110" s="38"/>
      <c r="F110" s="37"/>
      <c r="G110" s="52"/>
      <c r="H110" s="52"/>
      <c r="I110" s="52"/>
    </row>
    <row r="111" spans="2:9">
      <c r="B111" s="450" t="s">
        <v>189</v>
      </c>
      <c r="C111" s="450"/>
      <c r="D111" s="450"/>
      <c r="E111" s="151">
        <v>0</v>
      </c>
      <c r="F111" s="151">
        <f>SUM(F109:F110)</f>
        <v>1560000000</v>
      </c>
      <c r="G111" s="52"/>
      <c r="H111" s="52"/>
      <c r="I111" s="52"/>
    </row>
    <row r="112" spans="2:9">
      <c r="B112" s="451" t="s">
        <v>190</v>
      </c>
      <c r="C112" s="451"/>
      <c r="D112" s="451"/>
      <c r="E112" s="40">
        <v>0</v>
      </c>
      <c r="F112" s="53">
        <v>0</v>
      </c>
      <c r="G112" s="52"/>
      <c r="H112" s="52"/>
      <c r="I112" s="52"/>
    </row>
    <row r="114" spans="2:10">
      <c r="B114" s="123" t="s">
        <v>191</v>
      </c>
      <c r="C114" s="124"/>
      <c r="D114" s="124"/>
      <c r="E114" s="124"/>
      <c r="F114" s="124"/>
    </row>
    <row r="115" spans="2:10" ht="47.25" customHeight="1">
      <c r="B115" s="437" t="s">
        <v>605</v>
      </c>
      <c r="C115" s="437"/>
      <c r="D115" s="437"/>
      <c r="E115" s="437"/>
      <c r="F115" s="437"/>
      <c r="G115" s="21"/>
    </row>
    <row r="116" spans="2:10" ht="27" customHeight="1">
      <c r="B116" s="144" t="s">
        <v>0</v>
      </c>
      <c r="C116" s="144" t="s">
        <v>192</v>
      </c>
      <c r="D116" s="144" t="s">
        <v>193</v>
      </c>
      <c r="E116" s="144" t="s">
        <v>194</v>
      </c>
    </row>
    <row r="117" spans="2:10">
      <c r="B117" s="36" t="s">
        <v>195</v>
      </c>
      <c r="C117" s="54">
        <v>600000000</v>
      </c>
      <c r="D117" s="54"/>
      <c r="E117" s="54">
        <f>+F109</f>
        <v>1560000000</v>
      </c>
    </row>
    <row r="118" spans="2:10">
      <c r="B118" s="36" t="s">
        <v>196</v>
      </c>
      <c r="C118" s="54">
        <v>200000000</v>
      </c>
      <c r="D118" s="54"/>
      <c r="E118" s="54">
        <v>1003000000</v>
      </c>
    </row>
    <row r="120" spans="2:10">
      <c r="B120" s="1" t="s">
        <v>522</v>
      </c>
    </row>
    <row r="121" spans="2:10">
      <c r="C121" t="s">
        <v>499</v>
      </c>
      <c r="D121" s="9"/>
      <c r="H121" s="1" t="s">
        <v>511</v>
      </c>
      <c r="I121" s="1"/>
      <c r="J121" s="240">
        <v>7831.26</v>
      </c>
    </row>
    <row r="122" spans="2:10">
      <c r="C122" s="1" t="s">
        <v>0</v>
      </c>
      <c r="D122" s="239" t="s">
        <v>512</v>
      </c>
      <c r="E122" s="239" t="s">
        <v>523</v>
      </c>
    </row>
    <row r="123" spans="2:10">
      <c r="B123" s="260"/>
      <c r="C123" s="258" t="s">
        <v>0</v>
      </c>
      <c r="D123" s="259" t="s">
        <v>512</v>
      </c>
      <c r="E123" s="259" t="s">
        <v>537</v>
      </c>
    </row>
    <row r="124" spans="2:10">
      <c r="B124" t="s">
        <v>499</v>
      </c>
      <c r="C124" s="1">
        <v>9420</v>
      </c>
      <c r="D124" s="239">
        <v>1452254507.3300002</v>
      </c>
      <c r="E124" s="409"/>
    </row>
    <row r="125" spans="2:10">
      <c r="B125" t="s">
        <v>732</v>
      </c>
      <c r="C125" s="1">
        <v>3</v>
      </c>
      <c r="D125" s="239">
        <v>140961451</v>
      </c>
      <c r="E125" s="409"/>
    </row>
    <row r="126" spans="2:10">
      <c r="B126" t="s">
        <v>733</v>
      </c>
      <c r="C126" s="1">
        <v>3</v>
      </c>
      <c r="D126" s="239">
        <v>140961451</v>
      </c>
      <c r="E126" s="409"/>
    </row>
    <row r="127" spans="2:10">
      <c r="B127" t="s">
        <v>734</v>
      </c>
      <c r="C127">
        <v>1</v>
      </c>
      <c r="D127" s="9">
        <v>50629466</v>
      </c>
      <c r="E127" s="409"/>
    </row>
    <row r="128" spans="2:10">
      <c r="B128" t="s">
        <v>735</v>
      </c>
      <c r="C128" s="1">
        <v>1</v>
      </c>
      <c r="D128" s="239">
        <v>64817933</v>
      </c>
      <c r="E128" s="409"/>
    </row>
    <row r="129" spans="2:5">
      <c r="B129" t="s">
        <v>736</v>
      </c>
      <c r="C129">
        <v>1</v>
      </c>
      <c r="D129" s="9">
        <v>25514052</v>
      </c>
      <c r="E129" s="409"/>
    </row>
    <row r="130" spans="2:5">
      <c r="B130" t="s">
        <v>513</v>
      </c>
      <c r="C130">
        <v>253</v>
      </c>
      <c r="D130" s="9">
        <v>275781570.25</v>
      </c>
      <c r="E130" s="409"/>
    </row>
    <row r="131" spans="2:5">
      <c r="B131" t="s">
        <v>793</v>
      </c>
      <c r="C131" s="1">
        <v>9</v>
      </c>
      <c r="D131" s="239">
        <v>8752560</v>
      </c>
      <c r="E131" s="409"/>
    </row>
    <row r="132" spans="2:5">
      <c r="B132" t="s">
        <v>794</v>
      </c>
      <c r="C132">
        <v>9</v>
      </c>
      <c r="D132" s="9">
        <v>8752560</v>
      </c>
      <c r="E132" s="409"/>
    </row>
    <row r="133" spans="2:5">
      <c r="B133" t="s">
        <v>764</v>
      </c>
      <c r="C133" s="1">
        <v>1</v>
      </c>
      <c r="D133" s="239">
        <v>6648042.8099999996</v>
      </c>
      <c r="E133" s="409"/>
    </row>
    <row r="134" spans="2:5">
      <c r="B134" t="s">
        <v>765</v>
      </c>
      <c r="C134">
        <v>1</v>
      </c>
      <c r="D134" s="9">
        <v>6648042.8099999996</v>
      </c>
      <c r="E134" s="409">
        <v>1011</v>
      </c>
    </row>
    <row r="135" spans="2:5">
      <c r="B135" t="s">
        <v>515</v>
      </c>
      <c r="C135" s="1">
        <v>241</v>
      </c>
      <c r="D135" s="239">
        <v>246903589.13</v>
      </c>
      <c r="E135" s="409"/>
    </row>
    <row r="136" spans="2:5">
      <c r="B136" t="s">
        <v>524</v>
      </c>
      <c r="C136" s="1">
        <v>1</v>
      </c>
      <c r="D136" s="239">
        <v>6656854.2599999998</v>
      </c>
      <c r="E136" s="409">
        <v>1012.34</v>
      </c>
    </row>
    <row r="137" spans="2:5">
      <c r="B137" t="s">
        <v>525</v>
      </c>
      <c r="C137">
        <v>240</v>
      </c>
      <c r="D137" s="9">
        <v>240246735.22999999</v>
      </c>
      <c r="E137" s="409"/>
    </row>
    <row r="138" spans="2:5">
      <c r="B138" t="s">
        <v>766</v>
      </c>
      <c r="C138" s="1">
        <v>2</v>
      </c>
      <c r="D138" s="239">
        <v>13477378.310000001</v>
      </c>
      <c r="E138" s="409"/>
    </row>
    <row r="139" spans="2:5">
      <c r="B139" t="s">
        <v>767</v>
      </c>
      <c r="C139">
        <v>2</v>
      </c>
      <c r="D139" s="9">
        <v>13477377.939999999</v>
      </c>
      <c r="E139" s="409">
        <v>2049.5700000000002</v>
      </c>
    </row>
    <row r="140" spans="2:5">
      <c r="B140" t="s">
        <v>516</v>
      </c>
      <c r="C140">
        <v>330</v>
      </c>
      <c r="D140" s="9">
        <v>900338066.82000005</v>
      </c>
      <c r="E140" s="409"/>
    </row>
    <row r="141" spans="2:5">
      <c r="B141" t="s">
        <v>795</v>
      </c>
      <c r="C141" s="1">
        <v>2</v>
      </c>
      <c r="D141" s="239">
        <v>13210075.33</v>
      </c>
      <c r="E141" s="409"/>
    </row>
    <row r="142" spans="2:5">
      <c r="B142" t="s">
        <v>796</v>
      </c>
      <c r="C142">
        <v>2</v>
      </c>
      <c r="D142" s="9">
        <v>13210075.33</v>
      </c>
      <c r="E142" s="409">
        <v>2008.92</v>
      </c>
    </row>
    <row r="143" spans="2:5">
      <c r="B143" t="s">
        <v>517</v>
      </c>
      <c r="C143">
        <v>15</v>
      </c>
      <c r="D143" s="9">
        <v>15262328.67</v>
      </c>
      <c r="E143" s="409"/>
    </row>
    <row r="144" spans="2:5">
      <c r="B144" t="s">
        <v>518</v>
      </c>
      <c r="C144">
        <v>2</v>
      </c>
      <c r="D144" s="9">
        <v>2023314.67</v>
      </c>
      <c r="E144" s="409"/>
    </row>
    <row r="145" spans="2:5">
      <c r="B145" t="s">
        <v>606</v>
      </c>
      <c r="C145">
        <v>13</v>
      </c>
      <c r="D145" s="9">
        <v>13239014</v>
      </c>
      <c r="E145" s="409"/>
    </row>
    <row r="146" spans="2:5">
      <c r="B146" t="s">
        <v>607</v>
      </c>
      <c r="C146">
        <v>2</v>
      </c>
      <c r="D146" s="9">
        <v>2039452</v>
      </c>
      <c r="E146" s="409"/>
    </row>
    <row r="147" spans="2:5">
      <c r="B147" t="s">
        <v>608</v>
      </c>
      <c r="C147">
        <v>2</v>
      </c>
      <c r="D147" s="9">
        <v>2039452</v>
      </c>
      <c r="E147" s="409"/>
    </row>
    <row r="148" spans="2:5">
      <c r="B148" t="s">
        <v>610</v>
      </c>
      <c r="C148">
        <v>19</v>
      </c>
      <c r="D148" s="9">
        <v>19000000</v>
      </c>
      <c r="E148" s="409"/>
    </row>
    <row r="149" spans="2:5">
      <c r="B149" t="s">
        <v>737</v>
      </c>
      <c r="C149">
        <v>19</v>
      </c>
      <c r="D149" s="9">
        <v>19000000</v>
      </c>
      <c r="E149" s="409"/>
    </row>
    <row r="150" spans="2:5">
      <c r="B150" t="s">
        <v>738</v>
      </c>
      <c r="C150">
        <v>85</v>
      </c>
      <c r="D150" s="9">
        <v>566236032.02999997</v>
      </c>
      <c r="E150" s="409"/>
    </row>
    <row r="151" spans="2:5">
      <c r="B151" t="s">
        <v>739</v>
      </c>
      <c r="C151">
        <v>11</v>
      </c>
      <c r="D151" s="9">
        <v>72332810</v>
      </c>
      <c r="E151" s="409">
        <v>11000</v>
      </c>
    </row>
    <row r="152" spans="2:5">
      <c r="B152" t="s">
        <v>740</v>
      </c>
      <c r="C152">
        <v>74</v>
      </c>
      <c r="D152" s="9">
        <v>493903222.02999997</v>
      </c>
      <c r="E152" s="409">
        <v>75110.25</v>
      </c>
    </row>
    <row r="153" spans="2:5">
      <c r="B153" t="s">
        <v>741</v>
      </c>
      <c r="C153">
        <v>9</v>
      </c>
      <c r="D153" s="9">
        <v>59792931.030000001</v>
      </c>
      <c r="E153" s="409"/>
    </row>
    <row r="154" spans="2:5">
      <c r="B154" t="s">
        <v>742</v>
      </c>
      <c r="C154">
        <v>9</v>
      </c>
      <c r="D154" s="9">
        <v>59792931.030000001</v>
      </c>
      <c r="E154" s="409">
        <v>9093</v>
      </c>
    </row>
    <row r="155" spans="2:5">
      <c r="B155" t="s">
        <v>526</v>
      </c>
      <c r="C155">
        <v>7</v>
      </c>
      <c r="D155" s="9">
        <v>40943727.649999999</v>
      </c>
      <c r="E155" s="409"/>
    </row>
    <row r="156" spans="2:5">
      <c r="B156" t="s">
        <v>527</v>
      </c>
      <c r="C156" s="1">
        <v>1</v>
      </c>
      <c r="D156" s="239">
        <v>1011150.5</v>
      </c>
      <c r="E156" s="409"/>
    </row>
    <row r="157" spans="2:5">
      <c r="B157" t="s">
        <v>797</v>
      </c>
      <c r="C157" s="1">
        <v>6</v>
      </c>
      <c r="D157" s="239">
        <v>39932577.149999999</v>
      </c>
      <c r="E157" s="409">
        <v>6072.74</v>
      </c>
    </row>
    <row r="158" spans="2:5">
      <c r="B158" t="s">
        <v>768</v>
      </c>
      <c r="C158" s="1">
        <v>1</v>
      </c>
      <c r="D158" s="239">
        <v>1008192</v>
      </c>
      <c r="E158" s="409"/>
    </row>
    <row r="159" spans="2:5">
      <c r="B159" t="s">
        <v>769</v>
      </c>
      <c r="C159" s="1">
        <v>1</v>
      </c>
      <c r="D159" s="239">
        <v>1008192</v>
      </c>
      <c r="E159" s="409"/>
    </row>
    <row r="160" spans="2:5">
      <c r="B160" t="s">
        <v>770</v>
      </c>
      <c r="C160" s="1">
        <v>190</v>
      </c>
      <c r="D160" s="239">
        <v>182845329</v>
      </c>
      <c r="E160" s="409"/>
    </row>
    <row r="161" spans="2:5">
      <c r="B161" t="s">
        <v>771</v>
      </c>
      <c r="C161" s="1">
        <v>85</v>
      </c>
      <c r="D161" s="239">
        <v>82009360</v>
      </c>
      <c r="E161" s="409"/>
    </row>
    <row r="162" spans="2:5">
      <c r="B162" t="s">
        <v>772</v>
      </c>
      <c r="C162" s="1">
        <v>5</v>
      </c>
      <c r="D162" s="239">
        <v>5000000</v>
      </c>
      <c r="E162" s="409"/>
    </row>
    <row r="163" spans="2:5">
      <c r="B163" t="s">
        <v>794</v>
      </c>
      <c r="C163" s="1">
        <v>100</v>
      </c>
      <c r="D163" s="239">
        <v>95835969</v>
      </c>
      <c r="E163" s="409"/>
    </row>
    <row r="164" spans="2:5">
      <c r="B164" t="s">
        <v>798</v>
      </c>
      <c r="C164">
        <v>35</v>
      </c>
      <c r="D164" s="9">
        <v>35835696</v>
      </c>
      <c r="E164" s="409"/>
    </row>
    <row r="165" spans="2:5">
      <c r="B165" t="s">
        <v>799</v>
      </c>
      <c r="C165" s="1">
        <v>35</v>
      </c>
      <c r="D165" s="239">
        <v>35835696</v>
      </c>
      <c r="E165" s="409"/>
    </row>
    <row r="166" spans="2:5">
      <c r="B166" t="s">
        <v>800</v>
      </c>
      <c r="C166" s="1">
        <v>35</v>
      </c>
      <c r="D166" s="239">
        <v>35835696</v>
      </c>
      <c r="E166" s="409"/>
    </row>
    <row r="167" spans="2:5">
      <c r="B167" t="s">
        <v>801</v>
      </c>
      <c r="C167">
        <v>11</v>
      </c>
      <c r="D167" s="9">
        <v>38729748.270000003</v>
      </c>
      <c r="E167" s="409"/>
    </row>
    <row r="168" spans="2:5">
      <c r="B168" t="s">
        <v>610</v>
      </c>
      <c r="C168">
        <v>11</v>
      </c>
      <c r="D168" s="9">
        <v>38729748.270000003</v>
      </c>
      <c r="E168" s="409"/>
    </row>
    <row r="169" spans="2:5">
      <c r="B169" t="s">
        <v>802</v>
      </c>
      <c r="C169">
        <v>11</v>
      </c>
      <c r="D169" s="9">
        <v>38729748.270000003</v>
      </c>
      <c r="E169" s="409">
        <v>5889.82</v>
      </c>
    </row>
    <row r="170" spans="2:5">
      <c r="B170" t="s">
        <v>773</v>
      </c>
      <c r="C170">
        <v>106</v>
      </c>
      <c r="D170" s="9">
        <v>34363788</v>
      </c>
      <c r="E170" s="409"/>
    </row>
    <row r="171" spans="2:5">
      <c r="B171" t="s">
        <v>514</v>
      </c>
      <c r="C171">
        <v>106</v>
      </c>
      <c r="D171" s="9">
        <v>34363788</v>
      </c>
      <c r="E171" s="409"/>
    </row>
    <row r="172" spans="2:5">
      <c r="B172" t="s">
        <v>743</v>
      </c>
      <c r="C172">
        <v>106</v>
      </c>
      <c r="D172" s="9">
        <v>34363788</v>
      </c>
      <c r="E172" s="409"/>
    </row>
    <row r="173" spans="2:5">
      <c r="B173" t="s">
        <v>774</v>
      </c>
      <c r="C173">
        <v>8523</v>
      </c>
      <c r="D173" s="9">
        <v>10344186.99</v>
      </c>
      <c r="E173" s="409"/>
    </row>
    <row r="174" spans="2:5">
      <c r="B174" t="s">
        <v>609</v>
      </c>
      <c r="C174">
        <v>4</v>
      </c>
      <c r="D174" s="9">
        <v>1705186.99</v>
      </c>
      <c r="E174" s="409"/>
    </row>
    <row r="175" spans="2:5">
      <c r="B175" t="s">
        <v>611</v>
      </c>
      <c r="C175">
        <v>4</v>
      </c>
      <c r="D175" s="9">
        <v>1705186.99</v>
      </c>
      <c r="E175" s="409"/>
    </row>
    <row r="176" spans="2:5">
      <c r="B176" t="s">
        <v>515</v>
      </c>
      <c r="C176">
        <v>8519</v>
      </c>
      <c r="D176" s="9">
        <v>8639000</v>
      </c>
      <c r="E176" s="409"/>
    </row>
    <row r="177" spans="2:6">
      <c r="B177" t="s">
        <v>528</v>
      </c>
      <c r="C177">
        <v>8519</v>
      </c>
      <c r="D177" s="9">
        <v>8639000</v>
      </c>
      <c r="E177" s="409"/>
    </row>
    <row r="178" spans="2:6">
      <c r="B178" t="s">
        <v>775</v>
      </c>
      <c r="C178">
        <v>159</v>
      </c>
      <c r="D178" s="9">
        <v>15900000</v>
      </c>
      <c r="E178" s="409"/>
    </row>
    <row r="179" spans="2:6">
      <c r="B179" t="s">
        <v>776</v>
      </c>
      <c r="C179">
        <v>159</v>
      </c>
      <c r="D179" s="9">
        <v>15900000</v>
      </c>
      <c r="E179" s="409"/>
    </row>
    <row r="180" spans="2:6">
      <c r="B180" t="s">
        <v>803</v>
      </c>
      <c r="C180">
        <v>159</v>
      </c>
      <c r="D180" s="9">
        <v>15900000</v>
      </c>
      <c r="E180" s="409"/>
    </row>
    <row r="181" spans="2:6">
      <c r="D181" s="9"/>
      <c r="E181" s="409"/>
    </row>
    <row r="182" spans="2:6">
      <c r="B182" s="260" t="s">
        <v>529</v>
      </c>
      <c r="C182" s="262">
        <f>+C125+C130+C139+C165</f>
        <v>293</v>
      </c>
      <c r="D182" s="262">
        <f>+D125+D130+D140+D164+D167</f>
        <v>1391646532.3400002</v>
      </c>
    </row>
    <row r="183" spans="2:6">
      <c r="B183" s="260" t="s">
        <v>530</v>
      </c>
      <c r="C183" s="262">
        <f>+C168+C171+C177</f>
        <v>8636</v>
      </c>
      <c r="D183" s="262">
        <f>+D170+D173+D178</f>
        <v>60607974.990000002</v>
      </c>
      <c r="E183" s="410"/>
    </row>
    <row r="188" spans="2:6">
      <c r="B188" s="123" t="s">
        <v>197</v>
      </c>
      <c r="C188" s="124"/>
      <c r="D188" s="124"/>
      <c r="E188" s="124"/>
      <c r="F188" s="124"/>
    </row>
    <row r="189" spans="2:6">
      <c r="B189" s="419" t="s">
        <v>175</v>
      </c>
      <c r="C189" s="419"/>
      <c r="D189" s="419"/>
      <c r="E189" s="419"/>
      <c r="F189" s="419"/>
    </row>
    <row r="190" spans="2:6">
      <c r="B190" s="125"/>
      <c r="C190" s="124"/>
      <c r="D190" s="124"/>
      <c r="E190" s="124"/>
      <c r="F190" s="124"/>
    </row>
    <row r="191" spans="2:6">
      <c r="B191" s="418" t="s">
        <v>367</v>
      </c>
      <c r="C191" s="418"/>
      <c r="D191" s="124"/>
      <c r="E191" s="124"/>
      <c r="F191" s="124"/>
    </row>
    <row r="192" spans="2:6">
      <c r="B192" s="432" t="s">
        <v>163</v>
      </c>
      <c r="C192" s="432" t="s">
        <v>171</v>
      </c>
      <c r="D192" s="432" t="s">
        <v>198</v>
      </c>
    </row>
    <row r="193" spans="2:5" ht="6.6" customHeight="1">
      <c r="B193" s="432"/>
      <c r="C193" s="432"/>
      <c r="D193" s="432"/>
    </row>
    <row r="194" spans="2:5">
      <c r="B194" s="42" t="s">
        <v>490</v>
      </c>
      <c r="C194" s="55">
        <v>0</v>
      </c>
      <c r="D194" s="55">
        <v>0</v>
      </c>
    </row>
    <row r="195" spans="2:5">
      <c r="B195" s="42" t="s">
        <v>489</v>
      </c>
      <c r="C195" s="24">
        <v>11678000</v>
      </c>
      <c r="D195" s="55">
        <v>4318765.049999997</v>
      </c>
      <c r="E195" s="13"/>
    </row>
    <row r="196" spans="2:5">
      <c r="B196" s="44" t="s">
        <v>199</v>
      </c>
      <c r="C196" s="56">
        <f>+C195+C194</f>
        <v>11678000</v>
      </c>
      <c r="D196" s="56">
        <f>+D195+D194</f>
        <v>4318765.049999997</v>
      </c>
    </row>
    <row r="198" spans="2:5">
      <c r="B198" s="123" t="s">
        <v>368</v>
      </c>
    </row>
    <row r="199" spans="2:5">
      <c r="B199" s="442" t="s">
        <v>342</v>
      </c>
      <c r="C199" s="442" t="s">
        <v>171</v>
      </c>
      <c r="D199" s="442" t="s">
        <v>198</v>
      </c>
    </row>
    <row r="200" spans="2:5">
      <c r="B200" s="442"/>
      <c r="C200" s="442"/>
      <c r="D200" s="442"/>
    </row>
    <row r="201" spans="2:5" ht="15.75">
      <c r="B201" s="57" t="s">
        <v>344</v>
      </c>
      <c r="C201" s="58">
        <v>10114930.390000001</v>
      </c>
      <c r="D201" s="58">
        <v>33225817</v>
      </c>
    </row>
    <row r="202" spans="2:5" ht="15.75">
      <c r="B202" s="57" t="s">
        <v>487</v>
      </c>
      <c r="C202" s="58">
        <v>0</v>
      </c>
      <c r="D202" s="58">
        <v>0</v>
      </c>
    </row>
    <row r="203" spans="2:5" ht="15.75">
      <c r="B203" s="60" t="s">
        <v>199</v>
      </c>
      <c r="C203" s="61">
        <f>SUM(C201:C202)</f>
        <v>10114930.390000001</v>
      </c>
      <c r="D203" s="61">
        <f>SUM(D201:D202)</f>
        <v>33225817</v>
      </c>
    </row>
    <row r="204" spans="2:5" ht="15.75">
      <c r="B204" s="204"/>
      <c r="C204" s="205"/>
      <c r="D204" s="205"/>
    </row>
    <row r="205" spans="2:5" ht="15.75">
      <c r="B205" s="204"/>
      <c r="C205" s="205"/>
      <c r="D205" s="205"/>
    </row>
    <row r="206" spans="2:5">
      <c r="B206" s="123" t="s">
        <v>451</v>
      </c>
    </row>
    <row r="207" spans="2:5">
      <c r="B207" s="442" t="s">
        <v>342</v>
      </c>
      <c r="C207" s="442" t="s">
        <v>171</v>
      </c>
      <c r="D207" s="442" t="s">
        <v>198</v>
      </c>
    </row>
    <row r="208" spans="2:5">
      <c r="B208" s="442"/>
      <c r="C208" s="442"/>
      <c r="D208" s="442"/>
    </row>
    <row r="209" spans="2:4" ht="15.75">
      <c r="B209" s="57" t="s">
        <v>463</v>
      </c>
      <c r="C209" s="238">
        <v>134104109.1406</v>
      </c>
      <c r="D209" s="238">
        <v>317949156</v>
      </c>
    </row>
    <row r="210" spans="2:4" ht="15.75">
      <c r="B210" s="57" t="s">
        <v>809</v>
      </c>
      <c r="C210" s="238">
        <v>3800281</v>
      </c>
      <c r="D210" s="238">
        <v>0</v>
      </c>
    </row>
    <row r="211" spans="2:4" ht="15.75">
      <c r="B211" s="57" t="s">
        <v>777</v>
      </c>
      <c r="C211" s="238">
        <v>0</v>
      </c>
      <c r="D211" s="238">
        <v>0</v>
      </c>
    </row>
    <row r="212" spans="2:4" ht="15.75">
      <c r="B212" s="57" t="s">
        <v>495</v>
      </c>
      <c r="C212" s="238">
        <v>0</v>
      </c>
      <c r="D212" s="238">
        <v>44000</v>
      </c>
    </row>
    <row r="213" spans="2:4" ht="15.75">
      <c r="B213" s="57" t="s">
        <v>464</v>
      </c>
      <c r="C213" s="238">
        <v>165000</v>
      </c>
      <c r="D213" s="58">
        <v>165000</v>
      </c>
    </row>
    <row r="214" spans="2:4" ht="15.75">
      <c r="B214" s="57" t="s">
        <v>491</v>
      </c>
      <c r="C214" s="238">
        <v>165000</v>
      </c>
      <c r="D214" s="58">
        <v>165000</v>
      </c>
    </row>
    <row r="215" spans="2:4" ht="15.75">
      <c r="B215" s="57" t="s">
        <v>811</v>
      </c>
      <c r="C215" s="238">
        <v>22168559.608799998</v>
      </c>
      <c r="D215" s="238">
        <v>0</v>
      </c>
    </row>
    <row r="216" spans="2:4" ht="15.75">
      <c r="B216" s="57" t="s">
        <v>812</v>
      </c>
      <c r="C216" s="238">
        <v>99758518.239600003</v>
      </c>
      <c r="D216" s="238">
        <v>0</v>
      </c>
    </row>
    <row r="217" spans="2:4" ht="15.75">
      <c r="B217" s="57" t="s">
        <v>813</v>
      </c>
      <c r="C217" s="238">
        <v>904160.125</v>
      </c>
      <c r="D217" s="238">
        <v>0</v>
      </c>
    </row>
    <row r="218" spans="2:4" ht="15.75">
      <c r="B218" s="57" t="s">
        <v>395</v>
      </c>
      <c r="C218" s="238">
        <v>4067</v>
      </c>
      <c r="D218" s="238">
        <v>0</v>
      </c>
    </row>
    <row r="219" spans="2:4" ht="15.75">
      <c r="B219" s="57" t="s">
        <v>814</v>
      </c>
      <c r="C219" s="238">
        <v>1746000</v>
      </c>
      <c r="D219" s="238">
        <v>0</v>
      </c>
    </row>
    <row r="220" spans="2:4" ht="15.75">
      <c r="B220" s="57" t="s">
        <v>815</v>
      </c>
      <c r="C220" s="238">
        <v>1090458</v>
      </c>
      <c r="D220" s="238">
        <v>0</v>
      </c>
    </row>
    <row r="221" spans="2:4" ht="15.75">
      <c r="B221" s="57" t="s">
        <v>816</v>
      </c>
      <c r="C221" s="238">
        <v>2162816.7761000004</v>
      </c>
      <c r="D221" s="238">
        <v>0</v>
      </c>
    </row>
    <row r="222" spans="2:4" ht="15.75">
      <c r="B222" s="57" t="s">
        <v>817</v>
      </c>
      <c r="C222" s="238">
        <v>493051</v>
      </c>
      <c r="D222" s="238">
        <v>0</v>
      </c>
    </row>
    <row r="223" spans="2:4" ht="15.75">
      <c r="B223" s="57" t="s">
        <v>396</v>
      </c>
      <c r="C223" s="238">
        <v>291467.5895</v>
      </c>
      <c r="D223" s="238">
        <v>0</v>
      </c>
    </row>
    <row r="224" spans="2:4" ht="15.75">
      <c r="B224" s="57" t="s">
        <v>818</v>
      </c>
      <c r="C224" s="238">
        <v>1038659</v>
      </c>
      <c r="D224" s="238">
        <v>0</v>
      </c>
    </row>
    <row r="225" spans="2:4" ht="15.75">
      <c r="B225" s="57" t="s">
        <v>819</v>
      </c>
      <c r="C225" s="238">
        <v>289734</v>
      </c>
      <c r="D225" s="238">
        <v>0</v>
      </c>
    </row>
    <row r="226" spans="2:4" ht="15.75">
      <c r="B226" s="57" t="s">
        <v>820</v>
      </c>
      <c r="C226" s="238">
        <v>201700</v>
      </c>
      <c r="D226" s="238">
        <v>0</v>
      </c>
    </row>
    <row r="227" spans="2:4" ht="15.75">
      <c r="B227" s="57" t="s">
        <v>821</v>
      </c>
      <c r="C227" s="238">
        <v>796260</v>
      </c>
      <c r="D227" s="238">
        <v>0</v>
      </c>
    </row>
    <row r="228" spans="2:4" ht="15.75">
      <c r="B228" s="57" t="s">
        <v>822</v>
      </c>
      <c r="C228" s="238">
        <v>190545</v>
      </c>
      <c r="D228" s="238">
        <v>0</v>
      </c>
    </row>
    <row r="229" spans="2:4" ht="15.75">
      <c r="B229" s="57" t="s">
        <v>823</v>
      </c>
      <c r="C229" s="238">
        <v>81608</v>
      </c>
      <c r="D229" s="238">
        <v>0</v>
      </c>
    </row>
    <row r="230" spans="2:4" ht="15.75">
      <c r="B230" s="57" t="s">
        <v>824</v>
      </c>
      <c r="C230" s="238">
        <v>399774</v>
      </c>
      <c r="D230" s="238">
        <v>0</v>
      </c>
    </row>
    <row r="231" spans="2:4" ht="15.75">
      <c r="B231" s="57" t="s">
        <v>825</v>
      </c>
      <c r="C231" s="238">
        <v>460628.48550000001</v>
      </c>
      <c r="D231" s="238">
        <v>0</v>
      </c>
    </row>
    <row r="232" spans="2:4" ht="15.75">
      <c r="B232" s="57" t="s">
        <v>826</v>
      </c>
      <c r="C232" s="238">
        <v>330000</v>
      </c>
      <c r="D232" s="238">
        <v>0</v>
      </c>
    </row>
    <row r="233" spans="2:4" ht="15.75">
      <c r="B233" s="57" t="s">
        <v>612</v>
      </c>
      <c r="C233" s="238">
        <v>165000</v>
      </c>
      <c r="D233" s="238">
        <v>0</v>
      </c>
    </row>
    <row r="234" spans="2:4" ht="15.75">
      <c r="B234" s="57" t="s">
        <v>810</v>
      </c>
      <c r="C234" s="238">
        <v>499190.6655</v>
      </c>
      <c r="D234" s="238">
        <v>0</v>
      </c>
    </row>
    <row r="235" spans="2:4" ht="15.75">
      <c r="B235" s="57" t="s">
        <v>744</v>
      </c>
      <c r="C235" s="238">
        <v>5392.0821999999998</v>
      </c>
      <c r="D235" s="238">
        <v>0</v>
      </c>
    </row>
    <row r="236" spans="2:4" ht="15.75">
      <c r="B236" s="57" t="s">
        <v>394</v>
      </c>
      <c r="C236" s="238">
        <v>0</v>
      </c>
      <c r="D236" s="238">
        <v>437140.93320000003</v>
      </c>
    </row>
    <row r="237" spans="2:4" ht="15.75">
      <c r="B237" s="57" t="s">
        <v>538</v>
      </c>
      <c r="C237" s="238">
        <v>0</v>
      </c>
      <c r="D237" s="238">
        <v>191350</v>
      </c>
    </row>
    <row r="238" spans="2:4" ht="15.75">
      <c r="B238" s="57" t="s">
        <v>532</v>
      </c>
      <c r="C238" s="238">
        <v>300196</v>
      </c>
      <c r="D238" s="58">
        <v>165000</v>
      </c>
    </row>
    <row r="239" spans="2:4" ht="15.75">
      <c r="B239" s="57" t="s">
        <v>502</v>
      </c>
      <c r="C239" s="238">
        <v>2271680</v>
      </c>
      <c r="D239" s="238">
        <v>45080</v>
      </c>
    </row>
    <row r="240" spans="2:4" ht="15.75">
      <c r="B240" s="57" t="s">
        <v>452</v>
      </c>
      <c r="C240" s="238">
        <v>99000000</v>
      </c>
      <c r="D240" s="58">
        <v>99000000</v>
      </c>
    </row>
    <row r="241" spans="2:13" ht="15.75">
      <c r="B241" s="57" t="s">
        <v>539</v>
      </c>
      <c r="C241" s="238">
        <v>0</v>
      </c>
      <c r="D241" s="238">
        <v>1419024.3119999999</v>
      </c>
    </row>
    <row r="242" spans="2:13" ht="15.75">
      <c r="B242" s="57" t="s">
        <v>465</v>
      </c>
      <c r="C242" s="238">
        <v>23173097</v>
      </c>
      <c r="D242" s="58">
        <v>23173097</v>
      </c>
    </row>
    <row r="243" spans="2:13" ht="15.75">
      <c r="B243" s="57" t="s">
        <v>496</v>
      </c>
      <c r="C243" s="238">
        <v>0</v>
      </c>
      <c r="D243" s="238"/>
    </row>
    <row r="244" spans="2:13" ht="15.75">
      <c r="B244" s="57" t="s">
        <v>466</v>
      </c>
      <c r="C244" s="238">
        <v>0</v>
      </c>
      <c r="D244" s="58">
        <v>165000</v>
      </c>
    </row>
    <row r="245" spans="2:13" ht="15.75">
      <c r="B245" s="57" t="s">
        <v>467</v>
      </c>
      <c r="C245" s="238">
        <v>0</v>
      </c>
      <c r="D245" s="238">
        <v>330000</v>
      </c>
    </row>
    <row r="246" spans="2:13" ht="15.75">
      <c r="B246" s="57" t="s">
        <v>547</v>
      </c>
      <c r="C246" s="238">
        <v>0</v>
      </c>
      <c r="D246" s="238">
        <v>57101</v>
      </c>
    </row>
    <row r="247" spans="2:13" ht="15.75">
      <c r="B247" s="57" t="s">
        <v>540</v>
      </c>
      <c r="C247" s="238">
        <v>0</v>
      </c>
      <c r="D247" s="58">
        <v>8553928.6728000008</v>
      </c>
    </row>
    <row r="248" spans="2:13" ht="15.75">
      <c r="B248" s="60" t="s">
        <v>199</v>
      </c>
      <c r="C248" s="384">
        <f>SUM(C209:C247)</f>
        <v>396056952.71279997</v>
      </c>
      <c r="D248" s="61">
        <f>SUM(D209:D247)</f>
        <v>451859877.91799998</v>
      </c>
    </row>
    <row r="249" spans="2:13" ht="15.75">
      <c r="B249" s="204"/>
      <c r="C249" s="205"/>
      <c r="D249" s="205"/>
    </row>
    <row r="250" spans="2:13" ht="15.75">
      <c r="B250" s="204"/>
      <c r="C250" s="205"/>
      <c r="D250" s="205">
        <v>0</v>
      </c>
    </row>
    <row r="253" spans="2:13">
      <c r="B253" s="123" t="s">
        <v>200</v>
      </c>
    </row>
    <row r="254" spans="2:13">
      <c r="B254" s="441" t="s">
        <v>201</v>
      </c>
      <c r="C254" s="441" t="s">
        <v>202</v>
      </c>
      <c r="D254" s="441"/>
      <c r="E254" s="441"/>
      <c r="F254" s="441"/>
      <c r="G254" s="441"/>
      <c r="H254" s="441" t="s">
        <v>203</v>
      </c>
      <c r="I254" s="441"/>
      <c r="J254" s="441"/>
      <c r="K254" s="441"/>
      <c r="L254" s="441"/>
      <c r="M254" s="441"/>
    </row>
    <row r="255" spans="2:13">
      <c r="B255" s="441"/>
      <c r="C255" s="441" t="s">
        <v>204</v>
      </c>
      <c r="D255" s="441" t="s">
        <v>205</v>
      </c>
      <c r="E255" s="441" t="s">
        <v>206</v>
      </c>
      <c r="F255" s="441" t="s">
        <v>207</v>
      </c>
      <c r="G255" s="441" t="s">
        <v>208</v>
      </c>
      <c r="H255" s="441" t="s">
        <v>209</v>
      </c>
      <c r="I255" s="441" t="s">
        <v>205</v>
      </c>
      <c r="J255" s="441" t="s">
        <v>206</v>
      </c>
      <c r="K255" s="441" t="s">
        <v>210</v>
      </c>
      <c r="L255" s="441" t="s">
        <v>211</v>
      </c>
      <c r="M255" s="441" t="s">
        <v>212</v>
      </c>
    </row>
    <row r="256" spans="2:13">
      <c r="B256" s="441"/>
      <c r="C256" s="441"/>
      <c r="D256" s="441"/>
      <c r="E256" s="441"/>
      <c r="F256" s="441"/>
      <c r="G256" s="441"/>
      <c r="H256" s="441"/>
      <c r="I256" s="441"/>
      <c r="J256" s="441"/>
      <c r="K256" s="441"/>
      <c r="L256" s="441"/>
      <c r="M256" s="441"/>
    </row>
    <row r="257" spans="2:13">
      <c r="B257" s="441"/>
      <c r="C257" s="441"/>
      <c r="D257" s="441"/>
      <c r="E257" s="441"/>
      <c r="F257" s="441"/>
      <c r="G257" s="441"/>
      <c r="H257" s="441"/>
      <c r="I257" s="441"/>
      <c r="J257" s="441"/>
      <c r="K257" s="441"/>
      <c r="L257" s="441"/>
      <c r="M257" s="441"/>
    </row>
    <row r="258" spans="2:13">
      <c r="B258" s="35" t="s">
        <v>213</v>
      </c>
      <c r="C258" s="193">
        <v>116676569</v>
      </c>
      <c r="D258" s="193">
        <v>6166727.6299999952</v>
      </c>
      <c r="E258" s="193">
        <v>0</v>
      </c>
      <c r="F258" s="193">
        <v>0</v>
      </c>
      <c r="G258" s="386">
        <f>+D258+C258</f>
        <v>122843296.63</v>
      </c>
      <c r="H258" s="193">
        <v>96036182</v>
      </c>
      <c r="I258" s="193">
        <v>0</v>
      </c>
      <c r="J258" s="193">
        <v>5728088.1815264095</v>
      </c>
      <c r="K258" s="193">
        <v>0</v>
      </c>
      <c r="L258" s="193">
        <f>SUM(H258:K258)</f>
        <v>101764270.18152641</v>
      </c>
      <c r="M258" s="193">
        <f>+G258-L258</f>
        <v>21079026.448473588</v>
      </c>
    </row>
    <row r="259" spans="2:13">
      <c r="B259" s="35" t="s">
        <v>317</v>
      </c>
      <c r="C259" s="193">
        <v>166241943.55000001</v>
      </c>
      <c r="D259" s="193">
        <v>8826317.1899999976</v>
      </c>
      <c r="E259" s="193">
        <v>0</v>
      </c>
      <c r="F259" s="193">
        <v>0</v>
      </c>
      <c r="G259" s="386">
        <f>SUM(C259:F259)</f>
        <v>175068260.74000001</v>
      </c>
      <c r="H259" s="193">
        <v>146744330</v>
      </c>
      <c r="I259" s="193">
        <v>0</v>
      </c>
      <c r="J259" s="193">
        <v>8514010</v>
      </c>
      <c r="K259" s="193">
        <v>0</v>
      </c>
      <c r="L259" s="193">
        <f>SUM(H259:K259)</f>
        <v>155258340</v>
      </c>
      <c r="M259" s="193">
        <f>+G259-L259</f>
        <v>19809920.74000001</v>
      </c>
    </row>
    <row r="260" spans="2:13">
      <c r="B260" s="35" t="s">
        <v>318</v>
      </c>
      <c r="C260" s="193">
        <v>0</v>
      </c>
      <c r="D260" s="193">
        <v>0</v>
      </c>
      <c r="E260" s="193">
        <f>-C260</f>
        <v>0</v>
      </c>
      <c r="F260" s="193">
        <v>0</v>
      </c>
      <c r="G260" s="193">
        <f>SUM(C260:F260)</f>
        <v>0</v>
      </c>
      <c r="H260" s="193">
        <v>0</v>
      </c>
      <c r="I260" s="193">
        <v>0</v>
      </c>
      <c r="J260" s="193">
        <f>-H260</f>
        <v>0</v>
      </c>
      <c r="K260" s="193">
        <v>0</v>
      </c>
      <c r="L260" s="193">
        <f>SUM(H260:K260)</f>
        <v>0</v>
      </c>
      <c r="M260" s="193">
        <f>+G260-L260</f>
        <v>0</v>
      </c>
    </row>
    <row r="261" spans="2:13">
      <c r="B261" s="62" t="s">
        <v>214</v>
      </c>
      <c r="C261" s="34">
        <f>SUM(C258:C260)</f>
        <v>282918512.55000001</v>
      </c>
      <c r="D261" s="34">
        <f t="shared" ref="D261:L261" si="0">SUM(D258:D260)</f>
        <v>14993044.819999993</v>
      </c>
      <c r="E261" s="34">
        <f t="shared" si="0"/>
        <v>0</v>
      </c>
      <c r="F261" s="34">
        <f t="shared" si="0"/>
        <v>0</v>
      </c>
      <c r="G261" s="34">
        <f>SUM(G258:G260)</f>
        <v>297911557.37</v>
      </c>
      <c r="H261" s="34">
        <f>SUM(H258:H260)</f>
        <v>242780512</v>
      </c>
      <c r="I261" s="34">
        <f t="shared" si="0"/>
        <v>0</v>
      </c>
      <c r="J261" s="34">
        <f t="shared" si="0"/>
        <v>14242098.181526409</v>
      </c>
      <c r="K261" s="34">
        <f t="shared" si="0"/>
        <v>0</v>
      </c>
      <c r="L261" s="34">
        <f t="shared" si="0"/>
        <v>257022610.18152642</v>
      </c>
      <c r="M261" s="385">
        <f>+G261-L261</f>
        <v>40888947.188473582</v>
      </c>
    </row>
    <row r="262" spans="2:13">
      <c r="B262" s="62" t="s">
        <v>215</v>
      </c>
      <c r="C262" s="34">
        <v>266801592</v>
      </c>
      <c r="D262" s="34">
        <v>15937100.550000001</v>
      </c>
      <c r="E262" s="34">
        <v>0</v>
      </c>
      <c r="F262" s="34">
        <v>0</v>
      </c>
      <c r="G262" s="34">
        <f>+C262+D262</f>
        <v>282738692.55000001</v>
      </c>
      <c r="H262" s="34">
        <v>233498853.30203366</v>
      </c>
      <c r="I262" s="34">
        <v>9101828.9167264067</v>
      </c>
      <c r="J262" s="34">
        <v>0</v>
      </c>
      <c r="K262" s="34">
        <v>0</v>
      </c>
      <c r="L262" s="34">
        <f>+H262+I262+27</f>
        <v>242600709.21876007</v>
      </c>
      <c r="M262" s="34">
        <f>+G262-L262+9</f>
        <v>40137992.331239939</v>
      </c>
    </row>
    <row r="264" spans="2:13">
      <c r="H264" s="9"/>
    </row>
    <row r="265" spans="2:13">
      <c r="B265" s="128" t="s">
        <v>216</v>
      </c>
    </row>
    <row r="266" spans="2:13">
      <c r="B266" s="1"/>
    </row>
    <row r="267" spans="2:13">
      <c r="B267" s="440" t="s">
        <v>342</v>
      </c>
      <c r="C267" s="440" t="s">
        <v>171</v>
      </c>
      <c r="D267" s="440" t="s">
        <v>198</v>
      </c>
    </row>
    <row r="268" spans="2:13" ht="9.6" customHeight="1">
      <c r="B268" s="440"/>
      <c r="C268" s="440"/>
      <c r="D268" s="440"/>
    </row>
    <row r="269" spans="2:13" ht="15.75">
      <c r="B269" s="57" t="s">
        <v>349</v>
      </c>
      <c r="C269" s="58">
        <v>0</v>
      </c>
      <c r="D269" s="59">
        <v>0</v>
      </c>
      <c r="E269" s="22">
        <v>15</v>
      </c>
    </row>
    <row r="270" spans="2:13" ht="15.75">
      <c r="B270" s="57" t="s">
        <v>349</v>
      </c>
      <c r="C270" s="58">
        <v>0</v>
      </c>
      <c r="D270" s="59">
        <v>0</v>
      </c>
      <c r="E270" s="22"/>
    </row>
    <row r="271" spans="2:13" ht="15.75">
      <c r="B271" s="57"/>
      <c r="C271" s="58">
        <f>SUM(C269:C270)</f>
        <v>0</v>
      </c>
      <c r="D271" s="58">
        <f>SUM(D269:D270)</f>
        <v>0</v>
      </c>
      <c r="E271" s="22"/>
    </row>
    <row r="272" spans="2:13" ht="15" customHeight="1">
      <c r="B272" s="4"/>
    </row>
    <row r="273" spans="2:6" ht="15.75" customHeight="1"/>
    <row r="277" spans="2:6">
      <c r="B277" s="128" t="s">
        <v>218</v>
      </c>
    </row>
    <row r="278" spans="2:6" ht="8.65" customHeight="1"/>
    <row r="279" spans="2:6">
      <c r="B279" s="435" t="s">
        <v>163</v>
      </c>
      <c r="C279" s="149" t="s">
        <v>219</v>
      </c>
      <c r="D279" s="149"/>
      <c r="E279" s="149"/>
      <c r="F279" s="149" t="s">
        <v>219</v>
      </c>
    </row>
    <row r="280" spans="2:6">
      <c r="B280" s="436"/>
      <c r="C280" s="149" t="s">
        <v>220</v>
      </c>
      <c r="D280" s="149" t="s">
        <v>221</v>
      </c>
      <c r="E280" s="149" t="s">
        <v>222</v>
      </c>
      <c r="F280" s="149" t="s">
        <v>223</v>
      </c>
    </row>
    <row r="281" spans="2:6">
      <c r="B281" s="36" t="s">
        <v>32</v>
      </c>
      <c r="C281" s="37">
        <v>117588015.59999999</v>
      </c>
      <c r="D281" s="37">
        <v>58041960.400000006</v>
      </c>
      <c r="E281" s="40">
        <v>-61930564.799999997</v>
      </c>
      <c r="F281" s="37">
        <f>SUM(C281:E281)</f>
        <v>113699411.2</v>
      </c>
    </row>
    <row r="282" spans="2:6">
      <c r="B282" s="39" t="s">
        <v>224</v>
      </c>
      <c r="C282" s="40">
        <f>SUM(C281)</f>
        <v>117588015.59999999</v>
      </c>
      <c r="D282" s="40">
        <f t="shared" ref="D282:F282" si="1">SUM(D281)</f>
        <v>58041960.400000006</v>
      </c>
      <c r="E282" s="40">
        <f t="shared" si="1"/>
        <v>-61930564.799999997</v>
      </c>
      <c r="F282" s="40">
        <f t="shared" si="1"/>
        <v>113699411.2</v>
      </c>
    </row>
    <row r="283" spans="2:6">
      <c r="B283" s="36" t="s">
        <v>225</v>
      </c>
      <c r="C283" s="37">
        <v>149598817</v>
      </c>
      <c r="D283" s="230">
        <v>0</v>
      </c>
      <c r="E283" s="37">
        <v>-32010801.399999999</v>
      </c>
      <c r="F283" s="37">
        <f>+C283+E283+D283</f>
        <v>117588015.59999999</v>
      </c>
    </row>
    <row r="285" spans="2:6">
      <c r="B285" s="128" t="s">
        <v>226</v>
      </c>
      <c r="C285" s="124"/>
      <c r="D285" s="124"/>
      <c r="E285" s="124"/>
      <c r="F285" s="124"/>
    </row>
    <row r="286" spans="2:6">
      <c r="B286" s="437" t="s">
        <v>175</v>
      </c>
      <c r="C286" s="437"/>
      <c r="D286" s="437"/>
      <c r="E286" s="437"/>
      <c r="F286" s="437"/>
    </row>
    <row r="287" spans="2:6">
      <c r="B287" s="124"/>
      <c r="C287" s="124"/>
      <c r="D287" s="124"/>
      <c r="E287" s="124"/>
      <c r="F287" s="124"/>
    </row>
    <row r="288" spans="2:6">
      <c r="B288" s="421" t="s">
        <v>361</v>
      </c>
      <c r="C288" s="421"/>
      <c r="D288" s="421"/>
      <c r="E288" s="421"/>
      <c r="F288" s="124"/>
    </row>
    <row r="289" spans="2:6" ht="11.65" customHeight="1"/>
    <row r="290" spans="2:6">
      <c r="B290" s="150" t="s">
        <v>341</v>
      </c>
      <c r="C290" s="150" t="s">
        <v>171</v>
      </c>
      <c r="D290" s="150" t="s">
        <v>198</v>
      </c>
    </row>
    <row r="291" spans="2:6">
      <c r="B291" s="25" t="s">
        <v>327</v>
      </c>
      <c r="C291" s="412">
        <v>19160104</v>
      </c>
      <c r="D291" s="24">
        <v>19160104</v>
      </c>
      <c r="E291" s="22"/>
      <c r="F291" s="10"/>
    </row>
    <row r="292" spans="2:6">
      <c r="B292" s="25" t="s">
        <v>328</v>
      </c>
      <c r="C292" s="412">
        <v>0</v>
      </c>
      <c r="D292" s="24">
        <v>16196694.050000001</v>
      </c>
      <c r="E292" s="22"/>
      <c r="F292" s="10"/>
    </row>
    <row r="293" spans="2:6">
      <c r="B293" s="25" t="s">
        <v>329</v>
      </c>
      <c r="C293" s="412">
        <v>9665072.8399999999</v>
      </c>
      <c r="D293" s="24">
        <v>8332365.5199999996</v>
      </c>
      <c r="E293" s="22"/>
      <c r="F293" s="10"/>
    </row>
    <row r="294" spans="2:6">
      <c r="B294" s="25" t="s">
        <v>308</v>
      </c>
      <c r="C294" s="412">
        <v>0</v>
      </c>
      <c r="D294" s="24">
        <v>0</v>
      </c>
      <c r="E294" s="22"/>
      <c r="F294" s="10"/>
    </row>
    <row r="295" spans="2:6">
      <c r="B295" s="25" t="s">
        <v>508</v>
      </c>
      <c r="C295" s="412">
        <v>0</v>
      </c>
      <c r="D295" s="24">
        <v>0</v>
      </c>
      <c r="E295" s="22"/>
      <c r="F295" s="10"/>
    </row>
    <row r="296" spans="2:6">
      <c r="B296" s="25" t="s">
        <v>613</v>
      </c>
      <c r="C296" s="412">
        <v>5497918.7400000002</v>
      </c>
      <c r="D296" s="24">
        <v>0</v>
      </c>
      <c r="E296" s="22"/>
      <c r="F296" s="10"/>
    </row>
    <row r="297" spans="2:6">
      <c r="B297" s="25" t="s">
        <v>407</v>
      </c>
      <c r="C297" s="412">
        <v>33075820</v>
      </c>
      <c r="D297" s="24">
        <v>0</v>
      </c>
      <c r="E297" s="22"/>
      <c r="F297" s="10"/>
    </row>
    <row r="298" spans="2:6">
      <c r="B298" s="25" t="s">
        <v>481</v>
      </c>
      <c r="C298" s="412">
        <v>0</v>
      </c>
      <c r="D298" s="24">
        <v>33075820</v>
      </c>
      <c r="E298" s="22"/>
      <c r="F298" s="10"/>
    </row>
    <row r="299" spans="2:6">
      <c r="B299" s="25" t="s">
        <v>531</v>
      </c>
      <c r="C299" s="412">
        <v>574021</v>
      </c>
      <c r="D299" s="24">
        <v>574021</v>
      </c>
      <c r="E299" s="22"/>
      <c r="F299" s="10"/>
    </row>
    <row r="300" spans="2:6">
      <c r="B300" s="25" t="s">
        <v>504</v>
      </c>
      <c r="C300" s="412">
        <v>3689446.56</v>
      </c>
      <c r="D300" s="24">
        <v>2334709.6800000002</v>
      </c>
      <c r="E300" s="22"/>
      <c r="F300" s="10"/>
    </row>
    <row r="301" spans="2:6">
      <c r="B301" s="25" t="s">
        <v>503</v>
      </c>
      <c r="C301" s="412">
        <v>0</v>
      </c>
      <c r="D301" s="24">
        <v>172068.73</v>
      </c>
      <c r="E301" s="22"/>
    </row>
    <row r="302" spans="2:6">
      <c r="B302" s="27" t="s">
        <v>199</v>
      </c>
      <c r="C302" s="413">
        <f>SUM(C291:C301)</f>
        <v>71662383.140000001</v>
      </c>
      <c r="D302" s="30">
        <f>SUM(D291:D301)</f>
        <v>79845782.980000004</v>
      </c>
    </row>
    <row r="304" spans="2:6">
      <c r="B304" s="421" t="s">
        <v>408</v>
      </c>
      <c r="C304" s="421"/>
      <c r="D304" s="421"/>
      <c r="E304" s="421"/>
    </row>
    <row r="305" spans="2:5" ht="11.65" customHeight="1"/>
    <row r="306" spans="2:5">
      <c r="B306" s="150" t="s">
        <v>341</v>
      </c>
      <c r="C306" s="150" t="s">
        <v>171</v>
      </c>
      <c r="D306" s="150" t="s">
        <v>198</v>
      </c>
    </row>
    <row r="307" spans="2:5">
      <c r="B307" s="25" t="s">
        <v>410</v>
      </c>
      <c r="C307" s="24">
        <v>311618073</v>
      </c>
      <c r="D307" s="24">
        <v>311618073</v>
      </c>
      <c r="E307" s="22"/>
    </row>
    <row r="308" spans="2:5">
      <c r="B308" s="25" t="s">
        <v>836</v>
      </c>
      <c r="C308" s="24">
        <v>54453315.789999999</v>
      </c>
      <c r="D308" s="24">
        <v>0</v>
      </c>
      <c r="E308" s="22"/>
    </row>
    <row r="309" spans="2:5">
      <c r="B309" s="27" t="s">
        <v>199</v>
      </c>
      <c r="C309" s="28">
        <f>SUM(C307:C308)</f>
        <v>366071388.79000002</v>
      </c>
      <c r="D309" s="30">
        <f>SUM(D307:D308)</f>
        <v>311618073</v>
      </c>
    </row>
    <row r="310" spans="2:5">
      <c r="B310" s="31"/>
      <c r="C310" s="161"/>
      <c r="D310" s="162"/>
    </row>
    <row r="311" spans="2:5">
      <c r="B311" s="128" t="s">
        <v>227</v>
      </c>
      <c r="C311" s="124"/>
      <c r="D311" s="124"/>
    </row>
    <row r="312" spans="2:5">
      <c r="B312" s="419" t="s">
        <v>175</v>
      </c>
      <c r="C312" s="419"/>
      <c r="D312" s="419"/>
    </row>
    <row r="313" spans="2:5">
      <c r="B313" s="123"/>
      <c r="C313" s="124"/>
      <c r="D313" s="124"/>
    </row>
    <row r="314" spans="2:5">
      <c r="B314" s="123" t="s">
        <v>362</v>
      </c>
      <c r="C314" s="124"/>
      <c r="D314" s="124"/>
    </row>
    <row r="315" spans="2:5" ht="16.149999999999999" customHeight="1">
      <c r="B315" s="145" t="s">
        <v>228</v>
      </c>
      <c r="C315" s="144" t="s">
        <v>229</v>
      </c>
      <c r="D315" s="145" t="s">
        <v>230</v>
      </c>
    </row>
    <row r="316" spans="2:5">
      <c r="B316" s="42" t="s">
        <v>411</v>
      </c>
      <c r="C316" s="41">
        <v>0</v>
      </c>
      <c r="D316" s="41">
        <v>0</v>
      </c>
    </row>
    <row r="317" spans="2:5">
      <c r="B317" s="44" t="s">
        <v>199</v>
      </c>
      <c r="C317" s="47">
        <f>SUM(C316:C316)</f>
        <v>0</v>
      </c>
      <c r="D317" s="47">
        <f>+D316</f>
        <v>0</v>
      </c>
    </row>
    <row r="319" spans="2:5">
      <c r="B319" s="137" t="s">
        <v>363</v>
      </c>
      <c r="C319" s="16"/>
      <c r="D319" s="16"/>
    </row>
    <row r="320" spans="2:5">
      <c r="B320" s="145" t="s">
        <v>231</v>
      </c>
      <c r="C320" s="144" t="s">
        <v>229</v>
      </c>
      <c r="D320" s="145" t="s">
        <v>230</v>
      </c>
    </row>
    <row r="321" spans="2:5">
      <c r="B321" s="42" t="s">
        <v>411</v>
      </c>
      <c r="C321" s="113">
        <v>0</v>
      </c>
      <c r="D321" s="113">
        <v>0</v>
      </c>
    </row>
    <row r="322" spans="2:5">
      <c r="B322" s="42" t="s">
        <v>521</v>
      </c>
      <c r="C322" s="113">
        <v>0</v>
      </c>
      <c r="D322" s="113">
        <v>0</v>
      </c>
    </row>
    <row r="323" spans="2:5">
      <c r="B323" s="114" t="s">
        <v>199</v>
      </c>
      <c r="C323" s="115">
        <f>SUM(C321:C322)</f>
        <v>0</v>
      </c>
      <c r="D323" s="116">
        <f>+D321</f>
        <v>0</v>
      </c>
    </row>
    <row r="325" spans="2:5">
      <c r="B325" s="123" t="s">
        <v>364</v>
      </c>
    </row>
    <row r="326" spans="2:5">
      <c r="B326" s="145" t="s">
        <v>232</v>
      </c>
      <c r="C326" s="144" t="s">
        <v>229</v>
      </c>
      <c r="D326" s="145" t="s">
        <v>230</v>
      </c>
    </row>
    <row r="327" spans="2:5">
      <c r="B327" s="42" t="s">
        <v>349</v>
      </c>
      <c r="C327" s="38"/>
      <c r="D327" s="50"/>
    </row>
    <row r="328" spans="2:5">
      <c r="B328" s="44" t="s">
        <v>199</v>
      </c>
      <c r="C328" s="49" t="s">
        <v>129</v>
      </c>
      <c r="D328" s="51" t="s">
        <v>129</v>
      </c>
    </row>
    <row r="330" spans="2:5">
      <c r="B330" s="123" t="s">
        <v>365</v>
      </c>
    </row>
    <row r="331" spans="2:5">
      <c r="B331" s="145" t="s">
        <v>228</v>
      </c>
      <c r="C331" s="144" t="s">
        <v>229</v>
      </c>
      <c r="D331" s="145" t="s">
        <v>230</v>
      </c>
    </row>
    <row r="332" spans="2:5">
      <c r="B332" s="42" t="s">
        <v>411</v>
      </c>
      <c r="C332" s="41"/>
      <c r="D332" s="41">
        <v>0</v>
      </c>
    </row>
    <row r="333" spans="2:5">
      <c r="B333" s="44" t="s">
        <v>199</v>
      </c>
      <c r="C333" s="47">
        <f>+C332</f>
        <v>0</v>
      </c>
      <c r="D333" s="48">
        <f>+D332</f>
        <v>0</v>
      </c>
    </row>
    <row r="336" spans="2:5">
      <c r="B336" s="421" t="s">
        <v>233</v>
      </c>
      <c r="C336" s="421"/>
      <c r="D336" s="421"/>
      <c r="E336" s="124"/>
    </row>
    <row r="337" spans="2:5" ht="15.75" thickBot="1">
      <c r="B337" s="419" t="s">
        <v>175</v>
      </c>
      <c r="C337" s="419"/>
      <c r="D337" s="419"/>
      <c r="E337" s="419"/>
    </row>
    <row r="338" spans="2:5">
      <c r="B338" s="147" t="s">
        <v>163</v>
      </c>
      <c r="C338" s="148" t="s">
        <v>171</v>
      </c>
      <c r="D338" s="148" t="s">
        <v>234</v>
      </c>
    </row>
    <row r="339" spans="2:5">
      <c r="B339" s="42" t="s">
        <v>541</v>
      </c>
      <c r="C339" s="29">
        <v>348700</v>
      </c>
      <c r="D339" s="29">
        <v>323000</v>
      </c>
    </row>
    <row r="340" spans="2:5">
      <c r="B340" s="42" t="s">
        <v>416</v>
      </c>
      <c r="C340" s="29">
        <v>58256</v>
      </c>
      <c r="D340" s="29">
        <v>58191</v>
      </c>
    </row>
    <row r="341" spans="2:5">
      <c r="B341" s="42" t="s">
        <v>469</v>
      </c>
      <c r="C341" s="29">
        <v>1515000</v>
      </c>
      <c r="D341" s="29">
        <v>655000</v>
      </c>
    </row>
    <row r="342" spans="2:5">
      <c r="B342" s="42" t="s">
        <v>745</v>
      </c>
      <c r="C342" s="29">
        <v>600000</v>
      </c>
      <c r="D342" s="29"/>
    </row>
    <row r="343" spans="2:5">
      <c r="B343" s="42" t="s">
        <v>828</v>
      </c>
      <c r="C343" s="29">
        <v>750000</v>
      </c>
      <c r="D343" s="29"/>
    </row>
    <row r="344" spans="2:5">
      <c r="B344" s="42" t="s">
        <v>412</v>
      </c>
      <c r="C344" s="29">
        <v>33300</v>
      </c>
      <c r="D344" s="29">
        <v>193732</v>
      </c>
    </row>
    <row r="345" spans="2:5">
      <c r="B345" s="42" t="s">
        <v>827</v>
      </c>
      <c r="C345" s="29">
        <v>1485000</v>
      </c>
      <c r="D345" s="29"/>
    </row>
    <row r="346" spans="2:5">
      <c r="B346" s="42" t="s">
        <v>542</v>
      </c>
      <c r="C346" s="29">
        <v>250000</v>
      </c>
      <c r="D346" s="29">
        <v>1006250</v>
      </c>
    </row>
    <row r="347" spans="2:5">
      <c r="B347" s="42" t="s">
        <v>829</v>
      </c>
      <c r="C347" s="29">
        <v>164162</v>
      </c>
      <c r="D347" s="29"/>
    </row>
    <row r="348" spans="2:5">
      <c r="B348" s="42" t="s">
        <v>492</v>
      </c>
      <c r="C348" s="29">
        <v>459068</v>
      </c>
      <c r="D348" s="29">
        <v>532525.68000000005</v>
      </c>
    </row>
    <row r="349" spans="2:5">
      <c r="B349" s="42" t="s">
        <v>413</v>
      </c>
      <c r="C349" s="29">
        <v>0</v>
      </c>
      <c r="D349" s="29">
        <v>299365</v>
      </c>
    </row>
    <row r="350" spans="2:5">
      <c r="B350" s="42" t="s">
        <v>480</v>
      </c>
      <c r="C350" s="29">
        <v>3000000</v>
      </c>
      <c r="D350" s="29">
        <v>350000</v>
      </c>
    </row>
    <row r="351" spans="2:5">
      <c r="B351" s="42" t="s">
        <v>497</v>
      </c>
      <c r="C351" s="29">
        <v>0</v>
      </c>
      <c r="D351" s="29">
        <v>5500000</v>
      </c>
    </row>
    <row r="352" spans="2:5">
      <c r="B352" s="42" t="s">
        <v>470</v>
      </c>
      <c r="C352" s="29">
        <v>257233.28099999999</v>
      </c>
      <c r="D352" s="29">
        <v>258614.386</v>
      </c>
    </row>
    <row r="353" spans="2:5">
      <c r="B353" s="42" t="s">
        <v>532</v>
      </c>
      <c r="C353" s="29">
        <v>368493</v>
      </c>
      <c r="D353" s="29"/>
    </row>
    <row r="354" spans="2:5">
      <c r="B354" s="42" t="s">
        <v>506</v>
      </c>
      <c r="C354" s="29">
        <v>737100</v>
      </c>
      <c r="D354" s="29">
        <v>737100</v>
      </c>
    </row>
    <row r="355" spans="2:5">
      <c r="B355" s="42" t="s">
        <v>414</v>
      </c>
      <c r="C355" s="29">
        <v>4833430</v>
      </c>
      <c r="D355" s="29">
        <v>4617210</v>
      </c>
    </row>
    <row r="356" spans="2:5">
      <c r="B356" s="42" t="s">
        <v>505</v>
      </c>
      <c r="C356" s="29">
        <v>1350000</v>
      </c>
      <c r="D356" s="29">
        <v>1470000</v>
      </c>
    </row>
    <row r="357" spans="2:5">
      <c r="B357" s="42" t="s">
        <v>415</v>
      </c>
      <c r="C357" s="29">
        <v>360000</v>
      </c>
      <c r="D357" s="29">
        <v>360000</v>
      </c>
    </row>
    <row r="358" spans="2:5">
      <c r="B358" s="42" t="s">
        <v>471</v>
      </c>
      <c r="C358" s="29">
        <v>1082630</v>
      </c>
      <c r="D358" s="29">
        <v>540000</v>
      </c>
    </row>
    <row r="359" spans="2:5">
      <c r="B359" s="42" t="s">
        <v>498</v>
      </c>
      <c r="C359" s="29">
        <v>18241019.539999999</v>
      </c>
      <c r="D359" s="29"/>
    </row>
    <row r="360" spans="2:5">
      <c r="B360" s="42" t="s">
        <v>533</v>
      </c>
      <c r="C360" s="29">
        <v>1134520.67900001</v>
      </c>
      <c r="D360" s="29">
        <v>497000</v>
      </c>
    </row>
    <row r="361" spans="2:5">
      <c r="B361" s="42" t="s">
        <v>493</v>
      </c>
      <c r="C361" s="29">
        <v>110000</v>
      </c>
      <c r="D361" s="29">
        <v>110000</v>
      </c>
    </row>
    <row r="362" spans="2:5">
      <c r="B362" s="42" t="s">
        <v>494</v>
      </c>
      <c r="C362" s="29">
        <v>1100000</v>
      </c>
      <c r="D362" s="29">
        <v>1250000</v>
      </c>
    </row>
    <row r="363" spans="2:5">
      <c r="B363" s="42" t="s">
        <v>614</v>
      </c>
      <c r="C363" s="29">
        <v>361664.05</v>
      </c>
      <c r="D363" s="29"/>
    </row>
    <row r="364" spans="2:5">
      <c r="B364" s="44" t="s">
        <v>199</v>
      </c>
      <c r="C364" s="387">
        <f>SUM(C339:C363)</f>
        <v>38599576.550000004</v>
      </c>
      <c r="D364" s="48">
        <f>SUM(D339:D363)</f>
        <v>18757988.066</v>
      </c>
      <c r="E364" s="13"/>
    </row>
    <row r="366" spans="2:5">
      <c r="B366" s="128" t="s">
        <v>366</v>
      </c>
    </row>
    <row r="367" spans="2:5">
      <c r="B367" s="145" t="s">
        <v>163</v>
      </c>
      <c r="C367" s="145" t="s">
        <v>171</v>
      </c>
      <c r="D367" s="145" t="s">
        <v>234</v>
      </c>
    </row>
    <row r="368" spans="2:5">
      <c r="B368" s="42" t="s">
        <v>235</v>
      </c>
      <c r="C368" s="24">
        <v>0</v>
      </c>
      <c r="D368" s="29">
        <v>7100983</v>
      </c>
    </row>
    <row r="369" spans="2:5">
      <c r="B369" s="44" t="s">
        <v>199</v>
      </c>
      <c r="C369" s="48">
        <f>+C368</f>
        <v>0</v>
      </c>
      <c r="D369" s="48">
        <f>+D368</f>
        <v>7100983</v>
      </c>
      <c r="E369" s="13"/>
    </row>
    <row r="371" spans="2:5">
      <c r="C371" s="13"/>
    </row>
    <row r="374" spans="2:5">
      <c r="B374" s="421" t="s">
        <v>236</v>
      </c>
      <c r="C374" s="421"/>
      <c r="D374" s="421"/>
      <c r="E374" s="421"/>
    </row>
    <row r="375" spans="2:5" ht="15.75" thickBot="1">
      <c r="B375" s="133"/>
      <c r="C375" s="133"/>
      <c r="D375" s="133"/>
      <c r="E375" s="124"/>
    </row>
    <row r="376" spans="2:5">
      <c r="B376" s="165" t="s">
        <v>163</v>
      </c>
      <c r="C376" s="166" t="s">
        <v>171</v>
      </c>
      <c r="D376" s="167" t="s">
        <v>234</v>
      </c>
    </row>
    <row r="377" spans="2:5">
      <c r="B377" s="168" t="s">
        <v>462</v>
      </c>
      <c r="C377" s="164">
        <v>0</v>
      </c>
      <c r="D377" s="164">
        <v>0</v>
      </c>
      <c r="E377" s="219"/>
    </row>
    <row r="378" spans="2:5" ht="15.75" thickBot="1">
      <c r="B378" s="169"/>
      <c r="C378" s="170">
        <f>SUM(C377:C377)</f>
        <v>0</v>
      </c>
      <c r="D378" s="171">
        <f>SUM(D377:D377)</f>
        <v>0</v>
      </c>
    </row>
    <row r="379" spans="2:5">
      <c r="B379" s="124"/>
      <c r="C379" s="127"/>
      <c r="D379" s="127"/>
      <c r="E379" s="127"/>
    </row>
    <row r="380" spans="2:5">
      <c r="B380" s="124"/>
      <c r="C380" s="124"/>
      <c r="D380" s="124"/>
      <c r="E380" s="124"/>
    </row>
    <row r="381" spans="2:5">
      <c r="B381" s="439" t="s">
        <v>357</v>
      </c>
      <c r="C381" s="439"/>
      <c r="D381" s="439"/>
      <c r="E381" s="124"/>
    </row>
    <row r="382" spans="2:5" ht="15.75" thickBot="1">
      <c r="B382" s="133"/>
      <c r="C382" s="133"/>
      <c r="D382" s="133"/>
      <c r="E382" s="124"/>
    </row>
    <row r="383" spans="2:5">
      <c r="B383" s="165" t="s">
        <v>163</v>
      </c>
      <c r="C383" s="166" t="s">
        <v>171</v>
      </c>
      <c r="D383" s="167" t="s">
        <v>234</v>
      </c>
    </row>
    <row r="384" spans="2:5">
      <c r="B384" s="168" t="s">
        <v>395</v>
      </c>
      <c r="C384" s="164">
        <v>0</v>
      </c>
      <c r="D384" s="164">
        <v>170000000</v>
      </c>
    </row>
    <row r="385" spans="2:5">
      <c r="B385" s="168" t="s">
        <v>417</v>
      </c>
      <c r="C385" s="29">
        <v>7663332.4340000004</v>
      </c>
      <c r="D385" s="164">
        <v>0</v>
      </c>
    </row>
    <row r="386" spans="2:5" ht="15.75" thickBot="1">
      <c r="B386" s="169"/>
      <c r="C386" s="170">
        <f>SUM(C384:C385)</f>
        <v>7663332.4340000004</v>
      </c>
      <c r="D386" s="171">
        <f>SUM(D384:D385)</f>
        <v>170000000</v>
      </c>
    </row>
    <row r="387" spans="2:5">
      <c r="B387" s="163"/>
      <c r="C387" s="186"/>
      <c r="D387" s="186"/>
    </row>
    <row r="388" spans="2:5" ht="15.75" thickBot="1">
      <c r="B388" s="163" t="s">
        <v>421</v>
      </c>
      <c r="C388" s="186"/>
      <c r="D388" s="186"/>
    </row>
    <row r="389" spans="2:5">
      <c r="B389" s="165" t="s">
        <v>163</v>
      </c>
      <c r="C389" s="166" t="s">
        <v>171</v>
      </c>
      <c r="D389" s="167" t="s">
        <v>234</v>
      </c>
    </row>
    <row r="390" spans="2:5">
      <c r="B390" s="188" t="s">
        <v>748</v>
      </c>
      <c r="C390" s="164">
        <v>54825074</v>
      </c>
      <c r="D390" s="164">
        <v>0</v>
      </c>
    </row>
    <row r="391" spans="2:5">
      <c r="B391" s="188" t="s">
        <v>746</v>
      </c>
      <c r="C391" s="164">
        <v>30542630</v>
      </c>
      <c r="D391" s="164">
        <v>0</v>
      </c>
    </row>
    <row r="392" spans="2:5">
      <c r="B392" s="188" t="s">
        <v>747</v>
      </c>
      <c r="C392" s="164">
        <v>19385807</v>
      </c>
      <c r="D392" s="29">
        <v>0</v>
      </c>
    </row>
    <row r="393" spans="2:5">
      <c r="B393" s="188" t="s">
        <v>432</v>
      </c>
      <c r="C393" s="164">
        <v>54782959</v>
      </c>
      <c r="D393" s="164">
        <v>0</v>
      </c>
    </row>
    <row r="394" spans="2:5">
      <c r="B394" s="188"/>
      <c r="C394" s="164"/>
      <c r="D394" s="164">
        <v>0</v>
      </c>
    </row>
    <row r="395" spans="2:5">
      <c r="B395" s="188"/>
      <c r="C395" s="164"/>
      <c r="D395" s="164">
        <v>0</v>
      </c>
    </row>
    <row r="396" spans="2:5">
      <c r="B396" s="188"/>
      <c r="C396" s="164">
        <v>0</v>
      </c>
      <c r="D396" s="164">
        <v>0</v>
      </c>
    </row>
    <row r="397" spans="2:5">
      <c r="B397" s="188"/>
      <c r="C397" s="164">
        <v>0</v>
      </c>
      <c r="D397" s="164">
        <v>0</v>
      </c>
    </row>
    <row r="398" spans="2:5">
      <c r="B398" s="188"/>
      <c r="C398" s="164">
        <v>0</v>
      </c>
      <c r="D398" s="164">
        <v>0</v>
      </c>
    </row>
    <row r="399" spans="2:5">
      <c r="B399" s="388"/>
      <c r="C399" s="164">
        <v>0</v>
      </c>
      <c r="D399" s="164">
        <v>0</v>
      </c>
    </row>
    <row r="400" spans="2:5" ht="15.75" thickBot="1">
      <c r="B400" s="169"/>
      <c r="C400" s="170">
        <f>SUM(C390:C399)</f>
        <v>159536470</v>
      </c>
      <c r="D400" s="170">
        <f>SUM(D390:D399)</f>
        <v>0</v>
      </c>
      <c r="E400" s="219"/>
    </row>
    <row r="401" spans="2:5">
      <c r="B401" s="124"/>
      <c r="C401" s="133"/>
      <c r="D401" s="133"/>
      <c r="E401" s="124"/>
    </row>
    <row r="402" spans="2:5">
      <c r="B402" s="123" t="s">
        <v>237</v>
      </c>
      <c r="C402" s="124"/>
      <c r="D402" s="124"/>
      <c r="E402" s="124"/>
    </row>
    <row r="403" spans="2:5">
      <c r="B403" s="124" t="s">
        <v>351</v>
      </c>
      <c r="C403" s="124"/>
      <c r="D403" s="124"/>
      <c r="E403" s="124"/>
    </row>
    <row r="404" spans="2:5">
      <c r="B404" s="124"/>
      <c r="C404" s="124"/>
      <c r="D404" s="124"/>
      <c r="E404" s="124"/>
    </row>
    <row r="405" spans="2:5">
      <c r="B405" s="421" t="s">
        <v>238</v>
      </c>
      <c r="C405" s="421"/>
      <c r="D405" s="124"/>
      <c r="E405" s="124"/>
    </row>
    <row r="406" spans="2:5">
      <c r="B406" s="127"/>
      <c r="C406" s="127"/>
      <c r="D406" s="124"/>
      <c r="E406" s="124"/>
    </row>
    <row r="407" spans="2:5" ht="15.75" thickBot="1">
      <c r="B407" s="419" t="s">
        <v>175</v>
      </c>
      <c r="C407" s="419"/>
      <c r="D407" s="419"/>
      <c r="E407" s="419"/>
    </row>
    <row r="408" spans="2:5">
      <c r="B408" s="147" t="s">
        <v>163</v>
      </c>
      <c r="C408" s="148" t="s">
        <v>171</v>
      </c>
      <c r="D408" s="148" t="s">
        <v>234</v>
      </c>
    </row>
    <row r="409" spans="2:5">
      <c r="B409" s="42" t="s">
        <v>543</v>
      </c>
      <c r="C409" s="29">
        <v>0</v>
      </c>
      <c r="D409" s="29">
        <v>300687123</v>
      </c>
    </row>
    <row r="410" spans="2:5">
      <c r="B410" s="42" t="s">
        <v>475</v>
      </c>
      <c r="C410" s="29">
        <v>5075739</v>
      </c>
      <c r="D410" s="24">
        <v>13118141</v>
      </c>
    </row>
    <row r="411" spans="2:5">
      <c r="B411" s="42" t="s">
        <v>615</v>
      </c>
      <c r="C411" s="29">
        <v>0</v>
      </c>
      <c r="D411" s="24"/>
    </row>
    <row r="412" spans="2:5">
      <c r="B412" s="42" t="s">
        <v>778</v>
      </c>
      <c r="C412" s="29">
        <v>0</v>
      </c>
      <c r="D412" s="24"/>
    </row>
    <row r="413" spans="2:5">
      <c r="B413" s="42" t="s">
        <v>419</v>
      </c>
      <c r="C413" s="29">
        <v>0</v>
      </c>
      <c r="D413" s="29">
        <v>165350080</v>
      </c>
    </row>
    <row r="414" spans="2:5">
      <c r="B414" s="44" t="s">
        <v>199</v>
      </c>
      <c r="C414" s="48">
        <f>SUM(C409:C413)</f>
        <v>5075739</v>
      </c>
      <c r="D414" s="48">
        <f>SUM(D409:D413)</f>
        <v>479155344</v>
      </c>
      <c r="E414" s="13"/>
    </row>
    <row r="417" spans="2:6">
      <c r="B417" s="123" t="s">
        <v>240</v>
      </c>
      <c r="C417" s="124"/>
      <c r="D417" s="124"/>
    </row>
    <row r="418" spans="2:6" ht="15.75" hidden="1" thickBot="1">
      <c r="B418" s="136" t="s">
        <v>358</v>
      </c>
      <c r="C418" s="134"/>
      <c r="D418" s="134"/>
      <c r="F418" s="20"/>
    </row>
    <row r="419" spans="2:6" ht="15.75" hidden="1" thickBot="1">
      <c r="B419" s="136" t="s">
        <v>359</v>
      </c>
      <c r="C419" s="134"/>
      <c r="D419" s="134"/>
      <c r="F419" s="20"/>
    </row>
    <row r="420" spans="2:6" ht="15.75" hidden="1" thickBot="1">
      <c r="B420" s="136" t="s">
        <v>360</v>
      </c>
      <c r="C420" s="134"/>
      <c r="D420" s="134"/>
      <c r="F420" s="20"/>
    </row>
    <row r="421" spans="2:6">
      <c r="B421" s="124" t="s">
        <v>351</v>
      </c>
      <c r="C421" s="135"/>
      <c r="D421" s="135"/>
      <c r="F421" s="20"/>
    </row>
    <row r="422" spans="2:6">
      <c r="B422" s="124"/>
      <c r="C422" s="124"/>
      <c r="D422" s="124"/>
    </row>
    <row r="423" spans="2:6">
      <c r="B423" s="418" t="s">
        <v>241</v>
      </c>
      <c r="C423" s="418"/>
      <c r="D423" s="418"/>
    </row>
    <row r="424" spans="2:6">
      <c r="B424" s="125"/>
      <c r="C424" s="124"/>
      <c r="D424" s="124"/>
    </row>
    <row r="425" spans="2:6">
      <c r="B425" s="128" t="s">
        <v>453</v>
      </c>
      <c r="C425" s="124"/>
      <c r="D425" s="124"/>
      <c r="F425" s="215"/>
    </row>
    <row r="426" spans="2:6" ht="15.75" thickBot="1">
      <c r="B426" s="128"/>
      <c r="C426" s="124"/>
      <c r="D426" s="124"/>
      <c r="F426" s="215"/>
    </row>
    <row r="427" spans="2:6">
      <c r="B427" s="147" t="s">
        <v>454</v>
      </c>
      <c r="C427" s="148" t="s">
        <v>163</v>
      </c>
      <c r="D427" s="148" t="s">
        <v>455</v>
      </c>
      <c r="E427" s="166" t="s">
        <v>171</v>
      </c>
      <c r="F427" s="167" t="s">
        <v>234</v>
      </c>
    </row>
    <row r="428" spans="2:6">
      <c r="B428" s="168" t="s">
        <v>395</v>
      </c>
      <c r="C428" s="42" t="s">
        <v>483</v>
      </c>
      <c r="D428" s="42" t="s">
        <v>352</v>
      </c>
      <c r="E428" s="164">
        <v>0</v>
      </c>
      <c r="F428" s="164">
        <v>0</v>
      </c>
    </row>
    <row r="429" spans="2:6">
      <c r="B429" s="224" t="s">
        <v>396</v>
      </c>
      <c r="C429" s="42" t="s">
        <v>483</v>
      </c>
      <c r="D429" s="42" t="s">
        <v>484</v>
      </c>
      <c r="E429" s="225">
        <v>0</v>
      </c>
      <c r="F429" s="225">
        <v>0</v>
      </c>
    </row>
    <row r="430" spans="2:6" ht="15.75" thickBot="1">
      <c r="B430" s="169"/>
      <c r="C430" s="44"/>
      <c r="D430" s="44"/>
      <c r="E430" s="170">
        <f>SUM(E428:E429)</f>
        <v>0</v>
      </c>
      <c r="F430" s="171">
        <f>SUM(F428:F429)</f>
        <v>0</v>
      </c>
    </row>
    <row r="433" spans="2:6">
      <c r="B433" s="128" t="s">
        <v>456</v>
      </c>
      <c r="C433" s="216"/>
      <c r="D433" s="217"/>
      <c r="F433" s="215"/>
    </row>
    <row r="434" spans="2:6" ht="15.75" thickBot="1">
      <c r="B434" s="438" t="s">
        <v>457</v>
      </c>
      <c r="C434" s="438"/>
      <c r="D434" s="438"/>
      <c r="E434" s="438"/>
      <c r="F434" s="438"/>
    </row>
    <row r="435" spans="2:6">
      <c r="B435" s="147" t="s">
        <v>454</v>
      </c>
      <c r="C435" s="148" t="s">
        <v>163</v>
      </c>
      <c r="D435" s="148" t="s">
        <v>455</v>
      </c>
      <c r="E435" s="148" t="s">
        <v>171</v>
      </c>
      <c r="F435" s="148" t="s">
        <v>234</v>
      </c>
    </row>
    <row r="436" spans="2:6">
      <c r="B436" s="44" t="s">
        <v>395</v>
      </c>
      <c r="C436" s="44" t="s">
        <v>534</v>
      </c>
      <c r="D436" s="44" t="s">
        <v>352</v>
      </c>
      <c r="E436" s="261">
        <v>157245816</v>
      </c>
      <c r="F436" s="261">
        <v>78712828.650000006</v>
      </c>
    </row>
    <row r="437" spans="2:6">
      <c r="B437" s="44" t="s">
        <v>395</v>
      </c>
      <c r="C437" s="44" t="s">
        <v>458</v>
      </c>
      <c r="D437" s="44" t="s">
        <v>352</v>
      </c>
      <c r="E437" s="261">
        <v>267365</v>
      </c>
      <c r="F437" s="261">
        <v>72406.22</v>
      </c>
    </row>
    <row r="438" spans="2:6">
      <c r="B438" s="44" t="s">
        <v>395</v>
      </c>
      <c r="C438" s="44" t="s">
        <v>534</v>
      </c>
      <c r="D438" s="44" t="s">
        <v>352</v>
      </c>
      <c r="E438" s="261">
        <v>0</v>
      </c>
      <c r="F438" s="261">
        <v>5908862</v>
      </c>
    </row>
    <row r="439" spans="2:6">
      <c r="B439" s="44" t="s">
        <v>396</v>
      </c>
      <c r="C439" s="44" t="s">
        <v>458</v>
      </c>
      <c r="D439" s="44" t="s">
        <v>459</v>
      </c>
      <c r="E439" s="261">
        <v>0</v>
      </c>
      <c r="F439" s="261">
        <v>733321</v>
      </c>
    </row>
    <row r="440" spans="2:6">
      <c r="B440" s="44" t="s">
        <v>199</v>
      </c>
      <c r="C440" s="44"/>
      <c r="D440" s="44"/>
      <c r="E440" s="48">
        <f>SUM(E437:E439)</f>
        <v>267365</v>
      </c>
      <c r="F440" s="48">
        <f>SUM(F436:F439)</f>
        <v>85427417.870000005</v>
      </c>
    </row>
    <row r="442" spans="2:6" ht="15.75" thickBot="1">
      <c r="B442" s="438" t="s">
        <v>460</v>
      </c>
      <c r="C442" s="438"/>
      <c r="D442" s="438"/>
      <c r="E442" s="438"/>
      <c r="F442" s="438"/>
    </row>
    <row r="443" spans="2:6">
      <c r="B443" s="147" t="s">
        <v>454</v>
      </c>
      <c r="C443" s="148" t="s">
        <v>163</v>
      </c>
      <c r="D443" s="148" t="s">
        <v>455</v>
      </c>
      <c r="E443" s="148" t="s">
        <v>171</v>
      </c>
      <c r="F443" s="148" t="s">
        <v>234</v>
      </c>
    </row>
    <row r="444" spans="2:6">
      <c r="B444" s="42" t="s">
        <v>395</v>
      </c>
      <c r="C444" s="42" t="s">
        <v>461</v>
      </c>
      <c r="D444" s="42" t="s">
        <v>352</v>
      </c>
      <c r="E444" s="261">
        <v>38181818.219999999</v>
      </c>
      <c r="F444" s="261">
        <f>16500000*9</f>
        <v>148500000</v>
      </c>
    </row>
    <row r="445" spans="2:6">
      <c r="B445" s="42" t="s">
        <v>395</v>
      </c>
      <c r="C445" s="42" t="s">
        <v>485</v>
      </c>
      <c r="D445" s="42" t="s">
        <v>352</v>
      </c>
      <c r="E445" s="261">
        <v>43717930.549999997</v>
      </c>
      <c r="F445" s="261">
        <v>84844741.909999996</v>
      </c>
    </row>
    <row r="446" spans="2:6">
      <c r="B446" s="42" t="s">
        <v>396</v>
      </c>
      <c r="C446" s="42" t="s">
        <v>461</v>
      </c>
      <c r="D446" s="42" t="s">
        <v>459</v>
      </c>
      <c r="E446" s="261">
        <v>36363636.399999999</v>
      </c>
      <c r="F446" s="261">
        <v>16498410.9</v>
      </c>
    </row>
    <row r="447" spans="2:6">
      <c r="B447" s="42" t="s">
        <v>396</v>
      </c>
      <c r="C447" s="42" t="s">
        <v>485</v>
      </c>
      <c r="D447" s="42" t="s">
        <v>459</v>
      </c>
      <c r="E447" s="261">
        <v>25028836.489999998</v>
      </c>
      <c r="F447" s="261">
        <v>3771137.44</v>
      </c>
    </row>
    <row r="448" spans="2:6">
      <c r="B448" s="44" t="s">
        <v>199</v>
      </c>
      <c r="C448" s="44"/>
      <c r="D448" s="44"/>
      <c r="E448" s="48">
        <f>SUM(E444:E447)</f>
        <v>143292221.66</v>
      </c>
      <c r="F448" s="48">
        <f>SUM(F444:F447)</f>
        <v>253614290.25</v>
      </c>
    </row>
    <row r="452" spans="2:6" s="14" customFormat="1" ht="12.75">
      <c r="B452" s="130" t="s">
        <v>242</v>
      </c>
      <c r="C452" s="130"/>
      <c r="D452" s="130"/>
      <c r="E452" s="130"/>
      <c r="F452" s="130"/>
    </row>
    <row r="453" spans="2:6" s="14" customFormat="1" ht="13.5" thickBot="1">
      <c r="B453" s="130"/>
      <c r="C453" s="130"/>
      <c r="D453" s="130"/>
      <c r="E453" s="130"/>
      <c r="F453" s="130"/>
    </row>
    <row r="454" spans="2:6">
      <c r="B454" s="147" t="s">
        <v>163</v>
      </c>
      <c r="C454" s="148" t="s">
        <v>171</v>
      </c>
      <c r="D454" s="148" t="s">
        <v>234</v>
      </c>
    </row>
    <row r="455" spans="2:6">
      <c r="B455" s="42" t="s">
        <v>425</v>
      </c>
      <c r="C455" s="29"/>
      <c r="D455" s="43"/>
      <c r="F455" s="11"/>
    </row>
    <row r="456" spans="2:6">
      <c r="B456" s="44" t="s">
        <v>199</v>
      </c>
      <c r="C456" s="48">
        <f>SUM(C455:C455)</f>
        <v>0</v>
      </c>
      <c r="D456" s="48">
        <f>SUM(D455:D455)</f>
        <v>0</v>
      </c>
      <c r="E456" s="13"/>
      <c r="F456" s="12"/>
    </row>
    <row r="457" spans="2:6" s="14" customFormat="1" ht="12.75">
      <c r="B457" s="419"/>
      <c r="C457" s="419"/>
      <c r="D457" s="419"/>
      <c r="E457" s="419"/>
      <c r="F457" s="124"/>
    </row>
    <row r="458" spans="2:6" s="14" customFormat="1" ht="12.75">
      <c r="B458" s="124"/>
      <c r="C458" s="132"/>
      <c r="D458" s="124"/>
      <c r="E458" s="124"/>
      <c r="F458" s="124"/>
    </row>
    <row r="459" spans="2:6" s="14" customFormat="1" ht="12.75">
      <c r="B459" s="421" t="s">
        <v>243</v>
      </c>
      <c r="C459" s="421"/>
      <c r="D459" s="421"/>
      <c r="E459" s="421"/>
      <c r="F459" s="421"/>
    </row>
    <row r="460" spans="2:6" s="14" customFormat="1" ht="39" customHeight="1">
      <c r="B460" s="144" t="s">
        <v>163</v>
      </c>
      <c r="C460" s="144" t="s">
        <v>244</v>
      </c>
      <c r="D460" s="144" t="s">
        <v>221</v>
      </c>
      <c r="E460" s="144" t="s">
        <v>245</v>
      </c>
      <c r="F460" s="144" t="s">
        <v>246</v>
      </c>
    </row>
    <row r="461" spans="2:6" s="14" customFormat="1" ht="12.75">
      <c r="B461" s="190" t="s">
        <v>34</v>
      </c>
      <c r="C461" s="37">
        <f>+'Balance General'!G43</f>
        <v>4227400000</v>
      </c>
      <c r="D461" s="37">
        <f>+'Balance General'!F43-'Balance General'!G43</f>
        <v>307000000</v>
      </c>
      <c r="E461" s="37">
        <v>0</v>
      </c>
      <c r="F461" s="37">
        <f t="shared" ref="F461:F467" si="2">SUM(C461:E461)</f>
        <v>4534400000</v>
      </c>
    </row>
    <row r="462" spans="2:6" s="14" customFormat="1" ht="12.75">
      <c r="B462" s="190" t="s">
        <v>442</v>
      </c>
      <c r="C462" s="37">
        <f>+'Balance General'!G46</f>
        <v>803000000</v>
      </c>
      <c r="D462" s="37">
        <v>557000000</v>
      </c>
      <c r="E462" s="37">
        <v>0</v>
      </c>
      <c r="F462" s="37">
        <f t="shared" si="2"/>
        <v>1360000000</v>
      </c>
    </row>
    <row r="463" spans="2:6" s="14" customFormat="1" ht="12.75">
      <c r="B463" s="190" t="s">
        <v>247</v>
      </c>
      <c r="C463" s="37">
        <f>+'Balance General'!G44</f>
        <v>10015298</v>
      </c>
      <c r="D463" s="37">
        <f>+'Balance General'!F44-'Balance General'!G44</f>
        <v>110796</v>
      </c>
      <c r="E463" s="37">
        <v>0</v>
      </c>
      <c r="F463" s="37">
        <f t="shared" si="2"/>
        <v>10126094</v>
      </c>
    </row>
    <row r="464" spans="2:6" s="14" customFormat="1" ht="12.75">
      <c r="B464" s="190" t="s">
        <v>443</v>
      </c>
      <c r="C464" s="37">
        <f>+'Balance General'!G45</f>
        <v>14010438</v>
      </c>
      <c r="D464" s="37">
        <v>0</v>
      </c>
      <c r="E464" s="37">
        <f>+'Balance General'!F45-'Balance General'!G45</f>
        <v>0</v>
      </c>
      <c r="F464" s="37">
        <f t="shared" si="2"/>
        <v>14010438</v>
      </c>
    </row>
    <row r="465" spans="2:7" s="14" customFormat="1" ht="12.75">
      <c r="B465" s="190" t="s">
        <v>248</v>
      </c>
      <c r="C465" s="37">
        <f>+'Balance General'!G47</f>
        <v>190816305</v>
      </c>
      <c r="D465" s="389">
        <f>+'Balance General'!F47-'Balance General'!G47</f>
        <v>30333921</v>
      </c>
      <c r="E465" s="37">
        <v>0</v>
      </c>
      <c r="F465" s="37">
        <f>SUM(C465:E465)</f>
        <v>221150226</v>
      </c>
    </row>
    <row r="466" spans="2:7" s="14" customFormat="1" ht="12.75">
      <c r="B466" s="190" t="s">
        <v>249</v>
      </c>
      <c r="C466" s="37">
        <f>+'Balance General'!G52</f>
        <v>-1627508588</v>
      </c>
      <c r="D466" s="264">
        <v>0</v>
      </c>
      <c r="E466" s="37">
        <f>+'Balance General'!F52-'Balance General'!G52</f>
        <v>-0.11999988555908203</v>
      </c>
      <c r="F466" s="37">
        <f>SUM(C466:E466)</f>
        <v>-1627508588.1199999</v>
      </c>
    </row>
    <row r="467" spans="2:7" s="14" customFormat="1" ht="12.75">
      <c r="B467" s="190" t="s">
        <v>250</v>
      </c>
      <c r="C467" s="37">
        <f>+'Balance General'!G53</f>
        <v>467589956</v>
      </c>
      <c r="D467" s="37">
        <f>+'Balance General'!F53</f>
        <v>386111610.00000381</v>
      </c>
      <c r="E467" s="37">
        <f>-C467</f>
        <v>-467589956</v>
      </c>
      <c r="F467" s="37">
        <f t="shared" si="2"/>
        <v>386111610.00000381</v>
      </c>
    </row>
    <row r="468" spans="2:7" s="14" customFormat="1" ht="12.75">
      <c r="B468" s="39" t="s">
        <v>251</v>
      </c>
      <c r="C468" s="40">
        <f>SUM(C461:C467)</f>
        <v>4085323409</v>
      </c>
      <c r="D468" s="40">
        <f>SUM(D461:D467)</f>
        <v>1280556327.0000038</v>
      </c>
      <c r="E468" s="40">
        <f>SUM(E461:E467)</f>
        <v>-467589956.11999989</v>
      </c>
      <c r="F468" s="40">
        <f>SUM(F461:F467)</f>
        <v>4898289779.8800039</v>
      </c>
      <c r="G468" s="390"/>
    </row>
    <row r="469" spans="2:7" s="14" customFormat="1" ht="12.75">
      <c r="B469" s="128" t="s">
        <v>252</v>
      </c>
      <c r="C469" s="124"/>
      <c r="D469" s="124"/>
      <c r="E469" s="124"/>
      <c r="F469" s="124"/>
    </row>
    <row r="470" spans="2:7" s="14" customFormat="1" ht="12.75">
      <c r="B470" s="125" t="s">
        <v>351</v>
      </c>
      <c r="C470" s="124"/>
      <c r="D470" s="124"/>
      <c r="E470" s="124"/>
      <c r="F470" s="124"/>
    </row>
    <row r="471" spans="2:7" s="14" customFormat="1" ht="12.75">
      <c r="B471" s="124"/>
      <c r="C471" s="124"/>
      <c r="D471" s="124"/>
      <c r="E471" s="124"/>
      <c r="F471" s="124"/>
    </row>
    <row r="472" spans="2:7" s="14" customFormat="1" ht="12.75">
      <c r="B472" s="421" t="s">
        <v>253</v>
      </c>
      <c r="C472" s="421"/>
      <c r="D472" s="421"/>
      <c r="E472" s="421"/>
      <c r="F472" s="421"/>
    </row>
    <row r="473" spans="2:7" s="14" customFormat="1" ht="12.75">
      <c r="B473" s="128" t="s">
        <v>254</v>
      </c>
      <c r="C473" s="124"/>
      <c r="D473" s="124"/>
      <c r="E473" s="124"/>
      <c r="F473" s="124"/>
    </row>
    <row r="474" spans="2:7" s="14" customFormat="1" ht="12.75">
      <c r="B474" s="432" t="s">
        <v>163</v>
      </c>
      <c r="C474" s="145" t="s">
        <v>256</v>
      </c>
      <c r="D474" s="145" t="s">
        <v>258</v>
      </c>
      <c r="E474" s="124"/>
      <c r="F474" s="124"/>
    </row>
    <row r="475" spans="2:7" s="14" customFormat="1" ht="12.75">
      <c r="B475" s="432"/>
      <c r="C475" s="145" t="s">
        <v>257</v>
      </c>
      <c r="D475" s="145" t="s">
        <v>259</v>
      </c>
      <c r="E475" s="124"/>
      <c r="F475" s="124"/>
    </row>
    <row r="476" spans="2:7" s="14" customFormat="1" ht="12.75">
      <c r="B476" s="42" t="s">
        <v>620</v>
      </c>
      <c r="C476" s="29">
        <v>157245816</v>
      </c>
      <c r="D476" s="29">
        <v>0</v>
      </c>
      <c r="E476" s="124"/>
      <c r="F476" s="124"/>
    </row>
    <row r="477" spans="2:7" s="14" customFormat="1" ht="12.75">
      <c r="B477" s="159" t="s">
        <v>396</v>
      </c>
      <c r="C477" s="29">
        <v>0</v>
      </c>
      <c r="D477" s="29">
        <v>0</v>
      </c>
      <c r="E477" s="124"/>
      <c r="F477" s="124"/>
    </row>
    <row r="478" spans="2:7" s="14" customFormat="1" ht="12.75">
      <c r="B478" s="112" t="s">
        <v>199</v>
      </c>
      <c r="C478" s="160">
        <f>SUM(C476:C477)</f>
        <v>157245816</v>
      </c>
      <c r="D478" s="160">
        <f>SUM(D476:D477)</f>
        <v>0</v>
      </c>
      <c r="E478" s="124"/>
      <c r="F478" s="124"/>
    </row>
    <row r="481" spans="2:4" s="14" customFormat="1" ht="12.75">
      <c r="B481" s="127" t="s">
        <v>255</v>
      </c>
      <c r="C481" s="124"/>
      <c r="D481" s="124"/>
    </row>
    <row r="482" spans="2:4" s="14" customFormat="1" ht="12.75">
      <c r="B482" s="126" t="s">
        <v>175</v>
      </c>
      <c r="C482" s="124"/>
      <c r="D482" s="124"/>
    </row>
    <row r="483" spans="2:4" s="14" customFormat="1" ht="12.75">
      <c r="B483" s="432" t="s">
        <v>163</v>
      </c>
      <c r="C483" s="145" t="s">
        <v>256</v>
      </c>
      <c r="D483" s="145" t="s">
        <v>258</v>
      </c>
    </row>
    <row r="484" spans="2:4" s="14" customFormat="1" ht="12.75">
      <c r="B484" s="432"/>
      <c r="C484" s="145" t="s">
        <v>257</v>
      </c>
      <c r="D484" s="145" t="s">
        <v>259</v>
      </c>
    </row>
    <row r="485" spans="2:4" s="14" customFormat="1" ht="12.75">
      <c r="B485" s="42" t="s">
        <v>619</v>
      </c>
      <c r="C485" s="29">
        <v>3959905192</v>
      </c>
      <c r="D485" s="29">
        <v>17042580250</v>
      </c>
    </row>
    <row r="486" spans="2:4" s="14" customFormat="1" ht="12.75">
      <c r="B486" s="42" t="s">
        <v>616</v>
      </c>
      <c r="C486" s="29">
        <v>11483864157.389999</v>
      </c>
      <c r="D486" s="29">
        <v>16685436029.280001</v>
      </c>
    </row>
    <row r="487" spans="2:4" s="14" customFormat="1" ht="12.75">
      <c r="B487" s="42" t="s">
        <v>617</v>
      </c>
      <c r="C487" s="29">
        <v>728233671.76999998</v>
      </c>
      <c r="D487" s="29">
        <v>0</v>
      </c>
    </row>
    <row r="488" spans="2:4" s="14" customFormat="1" ht="12.75">
      <c r="B488" s="42" t="s">
        <v>618</v>
      </c>
      <c r="C488" s="29">
        <v>3147936854.0900002</v>
      </c>
      <c r="D488" s="29">
        <v>0</v>
      </c>
    </row>
    <row r="489" spans="2:4" s="14" customFormat="1" ht="12.75">
      <c r="B489" s="44" t="s">
        <v>199</v>
      </c>
      <c r="C489" s="261">
        <f>SUM(C485:C488)</f>
        <v>19319939875.25</v>
      </c>
      <c r="D489" s="261">
        <f>SUM(D485:D488)</f>
        <v>33728016279.279999</v>
      </c>
    </row>
    <row r="490" spans="2:4" s="14" customFormat="1" ht="12.75">
      <c r="B490" s="42" t="s">
        <v>334</v>
      </c>
      <c r="C490" s="29">
        <v>1318893989.97</v>
      </c>
      <c r="D490" s="29">
        <v>2205146268.9299998</v>
      </c>
    </row>
    <row r="491" spans="2:4" s="14" customFormat="1" ht="12.75">
      <c r="B491" s="42" t="s">
        <v>635</v>
      </c>
      <c r="C491" s="29">
        <v>42901794.520000003</v>
      </c>
      <c r="D491" s="29">
        <v>44099151.5</v>
      </c>
    </row>
    <row r="492" spans="2:4" s="14" customFormat="1" ht="12.75">
      <c r="B492" s="42" t="s">
        <v>784</v>
      </c>
      <c r="C492" s="29">
        <v>0</v>
      </c>
      <c r="D492" s="29">
        <v>125186849.09</v>
      </c>
    </row>
    <row r="493" spans="2:4" s="14" customFormat="1" ht="12.75">
      <c r="B493" s="42" t="s">
        <v>831</v>
      </c>
      <c r="C493" s="29">
        <v>2210471538.1300001</v>
      </c>
      <c r="D493" s="29"/>
    </row>
    <row r="494" spans="2:4" s="14" customFormat="1" ht="12.75">
      <c r="B494" s="42" t="s">
        <v>749</v>
      </c>
      <c r="C494" s="29">
        <v>7214613.6299999999</v>
      </c>
      <c r="D494" s="29">
        <v>0</v>
      </c>
    </row>
    <row r="495" spans="2:4" s="14" customFormat="1" ht="12.75">
      <c r="B495" s="44" t="s">
        <v>199</v>
      </c>
      <c r="C495" s="261">
        <f>SUM(C490:C494)</f>
        <v>3579481936.25</v>
      </c>
      <c r="D495" s="261">
        <f>SUM(D490:D494)</f>
        <v>2374432269.52</v>
      </c>
    </row>
    <row r="496" spans="2:4" s="14" customFormat="1" ht="12.75">
      <c r="B496" s="42"/>
      <c r="C496" s="29"/>
      <c r="D496" s="29">
        <v>0</v>
      </c>
    </row>
    <row r="497" spans="2:4" s="14" customFormat="1" ht="12.75">
      <c r="B497" s="42" t="s">
        <v>626</v>
      </c>
      <c r="C497" s="29">
        <v>39386154.899999999</v>
      </c>
      <c r="D497" s="29">
        <v>38867948.949999996</v>
      </c>
    </row>
    <row r="498" spans="2:4" s="14" customFormat="1" ht="12.75">
      <c r="B498" s="42" t="s">
        <v>621</v>
      </c>
      <c r="C498" s="29">
        <v>81691571.790000007</v>
      </c>
      <c r="D498" s="29">
        <v>0</v>
      </c>
    </row>
    <row r="499" spans="2:4" s="14" customFormat="1" ht="12.75">
      <c r="B499" s="42" t="s">
        <v>625</v>
      </c>
      <c r="C499" s="29">
        <v>1375895.94</v>
      </c>
      <c r="D499" s="29">
        <v>0</v>
      </c>
    </row>
    <row r="500" spans="2:4" s="14" customFormat="1" ht="12.75">
      <c r="B500" s="44" t="s">
        <v>199</v>
      </c>
      <c r="C500" s="261">
        <f>SUM(C497:C499)</f>
        <v>122453622.63</v>
      </c>
      <c r="D500" s="261">
        <f>SUM(D497:D499)</f>
        <v>38867948.949999996</v>
      </c>
    </row>
    <row r="501" spans="2:4" s="14" customFormat="1" ht="12.75">
      <c r="B501" s="42"/>
      <c r="C501" s="29"/>
      <c r="D501" s="29"/>
    </row>
    <row r="502" spans="2:4" s="14" customFormat="1" ht="12.75">
      <c r="B502" s="42"/>
      <c r="C502" s="29"/>
      <c r="D502" s="29"/>
    </row>
    <row r="503" spans="2:4" s="14" customFormat="1" ht="12.75">
      <c r="B503" s="42"/>
      <c r="C503" s="29"/>
      <c r="D503" s="29"/>
    </row>
    <row r="504" spans="2:4" s="14" customFormat="1" ht="12.75">
      <c r="B504" s="44" t="s">
        <v>763</v>
      </c>
      <c r="C504" s="48">
        <f>+C500+C495+C489+C478</f>
        <v>23179121250.130001</v>
      </c>
      <c r="D504" s="48">
        <f>+D500+D495+D489+D478</f>
        <v>36141316497.75</v>
      </c>
    </row>
    <row r="506" spans="2:4" s="14" customFormat="1" ht="12.75">
      <c r="B506" s="128" t="s">
        <v>260</v>
      </c>
    </row>
    <row r="507" spans="2:4" s="14" customFormat="1" ht="12.75">
      <c r="B507" s="123" t="s">
        <v>261</v>
      </c>
    </row>
    <row r="508" spans="2:4" s="14" customFormat="1" ht="12.75">
      <c r="B508" s="125" t="s">
        <v>175</v>
      </c>
    </row>
    <row r="509" spans="2:4" s="14" customFormat="1" ht="12.75">
      <c r="B509" s="431" t="s">
        <v>239</v>
      </c>
      <c r="C509" s="144" t="s">
        <v>262</v>
      </c>
      <c r="D509" s="146" t="s">
        <v>266</v>
      </c>
    </row>
    <row r="510" spans="2:4" s="14" customFormat="1" ht="12.75">
      <c r="B510" s="431"/>
      <c r="C510" s="144" t="s">
        <v>147</v>
      </c>
      <c r="D510" s="146" t="s">
        <v>263</v>
      </c>
    </row>
    <row r="511" spans="2:4" s="14" customFormat="1" ht="12.75">
      <c r="B511" s="45" t="s">
        <v>622</v>
      </c>
      <c r="C511" s="29">
        <v>1789163.65</v>
      </c>
      <c r="D511" s="29">
        <v>46200080.229999997</v>
      </c>
    </row>
    <row r="512" spans="2:4" s="14" customFormat="1" ht="12.75">
      <c r="B512" s="45" t="s">
        <v>623</v>
      </c>
      <c r="C512" s="29">
        <v>52735113.649999999</v>
      </c>
      <c r="D512" s="29">
        <v>0</v>
      </c>
    </row>
    <row r="513" spans="2:4" s="14" customFormat="1" ht="12.75">
      <c r="B513" s="45" t="s">
        <v>624</v>
      </c>
      <c r="C513" s="29">
        <v>477002.15</v>
      </c>
      <c r="D513" s="29">
        <v>0</v>
      </c>
    </row>
    <row r="514" spans="2:4" s="14" customFormat="1" ht="12.75">
      <c r="B514" s="45" t="s">
        <v>830</v>
      </c>
      <c r="C514" s="29">
        <v>2560</v>
      </c>
      <c r="D514" s="29"/>
    </row>
    <row r="515" spans="2:4" s="14" customFormat="1" ht="12.75">
      <c r="B515" s="45" t="s">
        <v>307</v>
      </c>
      <c r="C515" s="29">
        <v>13957076.960000001</v>
      </c>
      <c r="D515" s="29">
        <v>8310534.2000000002</v>
      </c>
    </row>
    <row r="516" spans="2:4" s="14" customFormat="1" ht="12.75">
      <c r="B516" s="45" t="s">
        <v>476</v>
      </c>
      <c r="C516" s="29">
        <v>73520493.069999993</v>
      </c>
      <c r="D516" s="29">
        <v>34939008</v>
      </c>
    </row>
    <row r="517" spans="2:4" s="14" customFormat="1" ht="12.75">
      <c r="B517" s="45" t="s">
        <v>264</v>
      </c>
      <c r="C517" s="29">
        <v>0</v>
      </c>
      <c r="D517" s="29">
        <v>191200</v>
      </c>
    </row>
    <row r="518" spans="2:4" s="14" customFormat="1" ht="12.75">
      <c r="B518" s="45" t="s">
        <v>265</v>
      </c>
      <c r="C518" s="29">
        <v>4238000</v>
      </c>
      <c r="D518" s="29">
        <v>7175076</v>
      </c>
    </row>
    <row r="519" spans="2:4" s="14" customFormat="1" ht="12.75">
      <c r="B519" s="46" t="s">
        <v>251</v>
      </c>
      <c r="C519" s="47">
        <f>SUM(C511:C518)</f>
        <v>146719409.47999999</v>
      </c>
      <c r="D519" s="47">
        <f>SUM(D511:D518)</f>
        <v>96815898.430000007</v>
      </c>
    </row>
    <row r="520" spans="2:4" s="14" customFormat="1" ht="12.75"/>
    <row r="521" spans="2:4" s="14" customFormat="1" ht="12.75">
      <c r="B521" s="174" t="s">
        <v>422</v>
      </c>
    </row>
    <row r="522" spans="2:4" s="14" customFormat="1" ht="13.5" thickBot="1">
      <c r="B522" s="175" t="s">
        <v>175</v>
      </c>
    </row>
    <row r="523" spans="2:4" s="14" customFormat="1" ht="12.75">
      <c r="B523" s="433" t="s">
        <v>239</v>
      </c>
      <c r="C523" s="179" t="s">
        <v>262</v>
      </c>
      <c r="D523" s="180" t="s">
        <v>266</v>
      </c>
    </row>
    <row r="524" spans="2:4" s="14" customFormat="1" ht="13.5" thickBot="1">
      <c r="B524" s="434"/>
      <c r="C524" s="181" t="s">
        <v>147</v>
      </c>
      <c r="D524" s="182" t="s">
        <v>263</v>
      </c>
    </row>
    <row r="525" spans="2:4" s="14" customFormat="1" ht="12.75">
      <c r="B525" s="45" t="s">
        <v>631</v>
      </c>
      <c r="C525" s="29">
        <v>3741672645.1199999</v>
      </c>
      <c r="D525" s="29">
        <v>16119143418.889999</v>
      </c>
    </row>
    <row r="526" spans="2:4" s="14" customFormat="1" ht="12.75">
      <c r="B526" s="45" t="s">
        <v>627</v>
      </c>
      <c r="C526" s="29">
        <v>11248534423.02</v>
      </c>
      <c r="D526" s="29">
        <v>16327491998.4</v>
      </c>
    </row>
    <row r="527" spans="2:4" s="14" customFormat="1" ht="12.75">
      <c r="B527" s="45" t="s">
        <v>628</v>
      </c>
      <c r="C527" s="29">
        <v>722857459.32000005</v>
      </c>
      <c r="D527" s="29">
        <v>0</v>
      </c>
    </row>
    <row r="528" spans="2:4" s="14" customFormat="1" ht="12.75">
      <c r="B528" s="45" t="s">
        <v>629</v>
      </c>
      <c r="C528" s="29">
        <v>3109679924.8200002</v>
      </c>
      <c r="D528" s="29">
        <v>0</v>
      </c>
    </row>
    <row r="529" spans="2:4" s="14" customFormat="1" ht="12.75">
      <c r="B529" s="45" t="s">
        <v>630</v>
      </c>
      <c r="C529" s="29">
        <v>157189188</v>
      </c>
      <c r="D529" s="29">
        <v>0</v>
      </c>
    </row>
    <row r="530" spans="2:4" s="14" customFormat="1" ht="12.75">
      <c r="B530" s="45" t="s">
        <v>548</v>
      </c>
      <c r="C530" s="29">
        <v>1307847944.4400001</v>
      </c>
      <c r="D530" s="29">
        <v>2193225288.8000002</v>
      </c>
    </row>
    <row r="531" spans="2:4" s="14" customFormat="1" ht="12.75">
      <c r="B531" s="45" t="s">
        <v>832</v>
      </c>
      <c r="C531" s="29">
        <v>1540030087.1500001</v>
      </c>
      <c r="D531" s="29"/>
    </row>
    <row r="532" spans="2:4" s="14" customFormat="1" ht="12.75">
      <c r="B532" s="231" t="s">
        <v>477</v>
      </c>
      <c r="C532" s="29">
        <v>24767829</v>
      </c>
      <c r="D532" s="392">
        <v>40591492</v>
      </c>
    </row>
    <row r="533" spans="2:4" s="14" customFormat="1" ht="13.5" thickBot="1">
      <c r="B533" s="232"/>
      <c r="C533" s="233"/>
      <c r="D533" s="234"/>
    </row>
    <row r="534" spans="2:4" s="14" customFormat="1" ht="13.5" thickBot="1">
      <c r="B534" s="235" t="s">
        <v>251</v>
      </c>
      <c r="C534" s="236">
        <f>SUM(C525:C533)</f>
        <v>21852579500.869999</v>
      </c>
      <c r="D534" s="236">
        <f>SUM(D525:D533)</f>
        <v>34680452198.090004</v>
      </c>
    </row>
    <row r="535" spans="2:4" s="14" customFormat="1" ht="12.75">
      <c r="B535" s="176"/>
      <c r="C535" s="178"/>
      <c r="D535" s="177"/>
    </row>
    <row r="536" spans="2:4" s="14" customFormat="1" ht="12.75">
      <c r="B536" s="123" t="s">
        <v>267</v>
      </c>
    </row>
    <row r="537" spans="2:4" s="14" customFormat="1" ht="12.75">
      <c r="B537" s="125" t="s">
        <v>175</v>
      </c>
    </row>
    <row r="538" spans="2:4" s="14" customFormat="1" ht="12.75">
      <c r="B538" s="431" t="s">
        <v>239</v>
      </c>
      <c r="C538" s="144" t="s">
        <v>262</v>
      </c>
      <c r="D538" s="146" t="s">
        <v>266</v>
      </c>
    </row>
    <row r="539" spans="2:4" s="14" customFormat="1" ht="12.75">
      <c r="B539" s="431"/>
      <c r="C539" s="144" t="s">
        <v>147</v>
      </c>
      <c r="D539" s="146" t="s">
        <v>263</v>
      </c>
    </row>
    <row r="540" spans="2:4" s="14" customFormat="1" ht="12.75">
      <c r="B540" s="45" t="s">
        <v>268</v>
      </c>
      <c r="C540" s="29">
        <v>0</v>
      </c>
      <c r="D540" s="29">
        <v>0</v>
      </c>
    </row>
    <row r="541" spans="2:4" s="14" customFormat="1" ht="12.75">
      <c r="B541" s="45" t="s">
        <v>275</v>
      </c>
      <c r="C541" s="29">
        <v>0</v>
      </c>
      <c r="D541" s="29">
        <v>0</v>
      </c>
    </row>
    <row r="542" spans="2:4" s="14" customFormat="1" ht="12.75">
      <c r="B542" s="45" t="s">
        <v>632</v>
      </c>
      <c r="C542" s="29">
        <v>12255256</v>
      </c>
      <c r="D542" s="29">
        <v>0</v>
      </c>
    </row>
    <row r="543" spans="2:4" s="14" customFormat="1" ht="12.75">
      <c r="B543" s="45" t="s">
        <v>833</v>
      </c>
      <c r="C543" s="29">
        <v>601342.54</v>
      </c>
      <c r="D543" s="29"/>
    </row>
    <row r="544" spans="2:4" s="14" customFormat="1" ht="12.75">
      <c r="B544" s="45" t="s">
        <v>750</v>
      </c>
      <c r="C544" s="29">
        <v>747269</v>
      </c>
      <c r="D544" s="29">
        <v>0</v>
      </c>
    </row>
    <row r="545" spans="2:4" s="14" customFormat="1" ht="12.75">
      <c r="B545" s="45" t="s">
        <v>545</v>
      </c>
      <c r="C545" s="29">
        <v>6270000</v>
      </c>
      <c r="D545" s="29">
        <v>13040758.18</v>
      </c>
    </row>
    <row r="546" spans="2:4" s="14" customFormat="1" ht="12.75">
      <c r="B546" s="45" t="s">
        <v>433</v>
      </c>
      <c r="C546" s="29">
        <v>128317627.12</v>
      </c>
      <c r="D546" s="29">
        <v>427333132.25</v>
      </c>
    </row>
    <row r="547" spans="2:4" s="14" customFormat="1" ht="12.75">
      <c r="B547" s="45" t="s">
        <v>782</v>
      </c>
      <c r="C547" s="29">
        <v>10765236.59</v>
      </c>
      <c r="D547" s="41"/>
    </row>
    <row r="548" spans="2:4" s="14" customFormat="1" ht="12.75">
      <c r="B548" s="45" t="s">
        <v>783</v>
      </c>
      <c r="C548" s="29">
        <v>3077103.35</v>
      </c>
      <c r="D548" s="41"/>
    </row>
    <row r="549" spans="2:4" s="14" customFormat="1" ht="12.75">
      <c r="B549" s="45" t="s">
        <v>520</v>
      </c>
      <c r="C549" s="29">
        <v>18746996.829999998</v>
      </c>
      <c r="D549" s="29">
        <v>21973356.030000001</v>
      </c>
    </row>
    <row r="550" spans="2:4" s="14" customFormat="1" ht="12.75">
      <c r="B550" s="45" t="s">
        <v>482</v>
      </c>
      <c r="C550" s="29">
        <v>201500717.09999999</v>
      </c>
      <c r="D550" s="29">
        <v>389990798.85000002</v>
      </c>
    </row>
    <row r="551" spans="2:4" s="14" customFormat="1" ht="12.75">
      <c r="B551" s="46" t="s">
        <v>251</v>
      </c>
      <c r="C551" s="47">
        <f>SUM(C540:C550)</f>
        <v>382281548.52999997</v>
      </c>
      <c r="D551" s="47">
        <f>SUM(D540:D550)</f>
        <v>852338045.31000006</v>
      </c>
    </row>
    <row r="552" spans="2:4" s="14" customFormat="1" ht="12.75"/>
    <row r="553" spans="2:4" s="14" customFormat="1" ht="12.75"/>
    <row r="554" spans="2:4" s="14" customFormat="1" ht="12.75">
      <c r="B554" s="123" t="s">
        <v>269</v>
      </c>
    </row>
    <row r="555" spans="2:4" s="14" customFormat="1" ht="12.75">
      <c r="B555" s="125" t="s">
        <v>175</v>
      </c>
    </row>
    <row r="556" spans="2:4" s="14" customFormat="1" ht="12.75">
      <c r="B556" s="431" t="s">
        <v>239</v>
      </c>
      <c r="C556" s="144" t="s">
        <v>262</v>
      </c>
      <c r="D556" s="146" t="s">
        <v>266</v>
      </c>
    </row>
    <row r="557" spans="2:4" s="14" customFormat="1" ht="12.75">
      <c r="B557" s="431"/>
      <c r="C557" s="144" t="s">
        <v>147</v>
      </c>
      <c r="D557" s="146" t="s">
        <v>263</v>
      </c>
    </row>
    <row r="558" spans="2:4" s="14" customFormat="1" ht="12.75">
      <c r="B558" s="42" t="s">
        <v>468</v>
      </c>
      <c r="C558" s="29">
        <v>515926677</v>
      </c>
      <c r="D558" s="29">
        <v>454623251</v>
      </c>
    </row>
    <row r="559" spans="2:4" s="14" customFormat="1" ht="12.75">
      <c r="B559" s="42" t="s">
        <v>270</v>
      </c>
      <c r="C559" s="29">
        <v>86365619.760000005</v>
      </c>
      <c r="D559" s="29">
        <v>75012837.640000001</v>
      </c>
    </row>
    <row r="560" spans="2:4" s="14" customFormat="1" ht="12.75">
      <c r="B560" s="42" t="s">
        <v>271</v>
      </c>
      <c r="C560" s="29">
        <v>42829435.439999998</v>
      </c>
      <c r="D560" s="29">
        <v>37598323.600000001</v>
      </c>
    </row>
    <row r="561" spans="2:4" s="14" customFormat="1" ht="12.75">
      <c r="B561" s="42" t="s">
        <v>834</v>
      </c>
      <c r="C561" s="29">
        <v>7247623</v>
      </c>
      <c r="D561" s="29"/>
    </row>
    <row r="562" spans="2:4" s="14" customFormat="1" ht="12.75">
      <c r="B562" s="42" t="s">
        <v>272</v>
      </c>
      <c r="C562" s="29">
        <v>4277760</v>
      </c>
      <c r="D562" s="29">
        <v>0</v>
      </c>
    </row>
    <row r="563" spans="2:4" s="14" customFormat="1" ht="12.75">
      <c r="B563" s="42" t="s">
        <v>273</v>
      </c>
      <c r="C563" s="29">
        <v>304268236.61000001</v>
      </c>
      <c r="D563" s="29">
        <v>155484303.65000001</v>
      </c>
    </row>
    <row r="564" spans="2:4" s="14" customFormat="1" ht="12.75">
      <c r="B564" s="42" t="s">
        <v>500</v>
      </c>
      <c r="C564" s="29">
        <v>7163110</v>
      </c>
      <c r="D564" s="29">
        <v>3895953</v>
      </c>
    </row>
    <row r="565" spans="2:4" s="14" customFormat="1" ht="12.75">
      <c r="B565" s="42" t="s">
        <v>311</v>
      </c>
      <c r="C565" s="29">
        <v>0</v>
      </c>
      <c r="D565" s="29">
        <v>63636</v>
      </c>
    </row>
    <row r="566" spans="2:4" s="14" customFormat="1" ht="12.75">
      <c r="B566" s="42" t="s">
        <v>274</v>
      </c>
      <c r="C566" s="29">
        <v>57272727.299999997</v>
      </c>
      <c r="D566" s="29">
        <v>54545456.399999999</v>
      </c>
    </row>
    <row r="567" spans="2:4" s="14" customFormat="1" ht="12.75">
      <c r="B567" s="42" t="s">
        <v>335</v>
      </c>
      <c r="C567" s="29">
        <v>22562989.93</v>
      </c>
      <c r="D567" s="29">
        <v>17918815.57</v>
      </c>
    </row>
    <row r="568" spans="2:4" s="14" customFormat="1" ht="12.75">
      <c r="B568" s="42" t="s">
        <v>276</v>
      </c>
      <c r="C568" s="29">
        <v>4099848.23</v>
      </c>
      <c r="D568" s="29">
        <v>1413297.79</v>
      </c>
    </row>
    <row r="569" spans="2:4" s="14" customFormat="1" ht="12.75">
      <c r="B569" s="42" t="s">
        <v>277</v>
      </c>
      <c r="C569" s="29">
        <v>100000</v>
      </c>
      <c r="D569" s="29">
        <v>1168873</v>
      </c>
    </row>
    <row r="570" spans="2:4" s="14" customFormat="1" ht="12.75">
      <c r="B570" s="42" t="s">
        <v>336</v>
      </c>
      <c r="C570" s="29">
        <v>0</v>
      </c>
      <c r="D570" s="29"/>
    </row>
    <row r="571" spans="2:4" s="14" customFormat="1" ht="12.75">
      <c r="B571" s="42" t="s">
        <v>310</v>
      </c>
      <c r="C571" s="29">
        <v>0</v>
      </c>
      <c r="D571" s="29">
        <v>0</v>
      </c>
    </row>
    <row r="572" spans="2:4" s="14" customFormat="1" ht="12.75">
      <c r="B572" s="42" t="s">
        <v>507</v>
      </c>
      <c r="C572" s="29">
        <v>0</v>
      </c>
      <c r="D572" s="29">
        <v>0</v>
      </c>
    </row>
    <row r="573" spans="2:4" s="14" customFormat="1" ht="12.75">
      <c r="B573" s="42" t="s">
        <v>278</v>
      </c>
      <c r="C573" s="29">
        <v>0</v>
      </c>
      <c r="D573" s="29">
        <v>0</v>
      </c>
    </row>
    <row r="574" spans="2:4" s="14" customFormat="1" ht="12.75">
      <c r="B574" s="42" t="s">
        <v>279</v>
      </c>
      <c r="C574" s="29">
        <v>0</v>
      </c>
      <c r="D574" s="29">
        <v>0</v>
      </c>
    </row>
    <row r="575" spans="2:4" s="14" customFormat="1" ht="12.75">
      <c r="B575" s="42" t="s">
        <v>280</v>
      </c>
      <c r="C575" s="29">
        <v>0</v>
      </c>
      <c r="D575" s="29">
        <v>0</v>
      </c>
    </row>
    <row r="576" spans="2:4" s="14" customFormat="1" ht="12.75">
      <c r="B576" s="42" t="s">
        <v>281</v>
      </c>
      <c r="C576" s="29">
        <v>143448468.81999999</v>
      </c>
      <c r="D576" s="29">
        <v>157931681.90000001</v>
      </c>
    </row>
    <row r="577" spans="2:6" s="14" customFormat="1" ht="12.75">
      <c r="B577" s="42" t="s">
        <v>282</v>
      </c>
      <c r="C577" s="29">
        <v>0</v>
      </c>
      <c r="D577" s="29">
        <v>0</v>
      </c>
    </row>
    <row r="578" spans="2:6" s="14" customFormat="1" ht="12.75">
      <c r="B578" s="44" t="s">
        <v>251</v>
      </c>
      <c r="C578" s="48">
        <f>SUM(C558:C577)</f>
        <v>1195562496.0899999</v>
      </c>
      <c r="D578" s="48">
        <f>SUM(D558:D577)</f>
        <v>959656429.54999995</v>
      </c>
      <c r="E578" s="23"/>
      <c r="F578" s="23"/>
    </row>
    <row r="579" spans="2:6" s="14" customFormat="1" ht="12.75">
      <c r="B579" s="15"/>
      <c r="C579" s="12"/>
      <c r="D579" s="12"/>
    </row>
    <row r="580" spans="2:6" s="14" customFormat="1" ht="12.75">
      <c r="B580" s="15"/>
      <c r="C580" s="106"/>
      <c r="D580" s="12"/>
    </row>
    <row r="583" spans="2:6">
      <c r="B583" s="418" t="s">
        <v>283</v>
      </c>
      <c r="C583" s="418"/>
      <c r="D583" s="418"/>
      <c r="E583" s="418"/>
      <c r="F583" s="418"/>
    </row>
    <row r="584" spans="2:6">
      <c r="B584" s="419" t="s">
        <v>175</v>
      </c>
      <c r="C584" s="419"/>
      <c r="D584" s="419"/>
      <c r="E584" s="419"/>
      <c r="F584" s="419"/>
    </row>
    <row r="585" spans="2:6">
      <c r="B585" s="131" t="s">
        <v>354</v>
      </c>
      <c r="C585" s="131"/>
      <c r="D585" s="131"/>
      <c r="E585" s="130"/>
      <c r="F585" s="124"/>
    </row>
    <row r="586" spans="2:6">
      <c r="B586" s="117"/>
      <c r="C586" s="117"/>
      <c r="D586" s="117"/>
      <c r="E586" s="31"/>
    </row>
    <row r="587" spans="2:6" ht="25.15" customHeight="1">
      <c r="B587" s="141" t="s">
        <v>239</v>
      </c>
      <c r="C587" s="142" t="s">
        <v>229</v>
      </c>
      <c r="D587" s="142" t="s">
        <v>284</v>
      </c>
    </row>
    <row r="588" spans="2:6">
      <c r="B588" s="118" t="s">
        <v>427</v>
      </c>
      <c r="C588" s="29">
        <v>0</v>
      </c>
      <c r="D588" s="29"/>
    </row>
    <row r="589" spans="2:6">
      <c r="B589" s="118" t="s">
        <v>428</v>
      </c>
      <c r="C589" s="29">
        <v>62749860</v>
      </c>
      <c r="D589" s="29">
        <v>52405856</v>
      </c>
    </row>
    <row r="590" spans="2:6">
      <c r="B590" s="118" t="s">
        <v>488</v>
      </c>
      <c r="C590" s="29">
        <v>21033429.059999999</v>
      </c>
      <c r="D590" s="29">
        <v>47296350.189999998</v>
      </c>
    </row>
    <row r="591" spans="2:6">
      <c r="B591" s="118" t="s">
        <v>633</v>
      </c>
      <c r="C591" s="29">
        <v>5258762.0199999996</v>
      </c>
      <c r="D591" s="29">
        <v>29124385.390000001</v>
      </c>
    </row>
    <row r="592" spans="2:6">
      <c r="B592" s="118" t="s">
        <v>781</v>
      </c>
      <c r="C592" s="29">
        <v>19628745.789999999</v>
      </c>
      <c r="D592" s="29">
        <v>27519189.600000001</v>
      </c>
    </row>
    <row r="593" spans="2:6">
      <c r="B593" s="118" t="s">
        <v>429</v>
      </c>
      <c r="C593" s="29">
        <v>0</v>
      </c>
      <c r="D593" s="29"/>
    </row>
    <row r="594" spans="2:6">
      <c r="B594" s="118" t="s">
        <v>752</v>
      </c>
      <c r="C594" s="29">
        <v>141982780.44999999</v>
      </c>
      <c r="D594" s="393"/>
    </row>
    <row r="595" spans="2:6">
      <c r="B595" s="118" t="s">
        <v>835</v>
      </c>
      <c r="C595" s="29">
        <v>530173.5</v>
      </c>
      <c r="D595" s="393"/>
    </row>
    <row r="596" spans="2:6">
      <c r="B596" s="118" t="s">
        <v>751</v>
      </c>
      <c r="C596" s="29">
        <v>16805091.359999999</v>
      </c>
      <c r="D596" s="29"/>
    </row>
    <row r="597" spans="2:6">
      <c r="B597" s="119" t="s">
        <v>285</v>
      </c>
      <c r="C597" s="120">
        <f>SUM(C588:C596)</f>
        <v>267988842.18000001</v>
      </c>
      <c r="D597" s="120">
        <f>SUM(D588:D596)</f>
        <v>156345781.18000001</v>
      </c>
    </row>
    <row r="598" spans="2:6">
      <c r="B598" s="16"/>
      <c r="C598" s="16"/>
      <c r="D598" s="16"/>
    </row>
    <row r="599" spans="2:6">
      <c r="B599" s="111" t="s">
        <v>350</v>
      </c>
      <c r="C599" s="16"/>
      <c r="D599" s="16"/>
    </row>
    <row r="600" spans="2:6" ht="30">
      <c r="B600" s="141" t="s">
        <v>239</v>
      </c>
      <c r="C600" s="142" t="s">
        <v>229</v>
      </c>
      <c r="D600" s="142" t="s">
        <v>284</v>
      </c>
    </row>
    <row r="601" spans="2:6">
      <c r="B601" s="121" t="s">
        <v>544</v>
      </c>
      <c r="C601" s="29">
        <v>21579214</v>
      </c>
      <c r="D601" s="29">
        <v>23294482</v>
      </c>
    </row>
    <row r="602" spans="2:6">
      <c r="B602" s="121"/>
      <c r="C602" s="29"/>
      <c r="D602" s="29"/>
    </row>
    <row r="603" spans="2:6">
      <c r="B603" s="121"/>
      <c r="C603" s="29"/>
      <c r="D603" s="29"/>
    </row>
    <row r="604" spans="2:6">
      <c r="B604" s="121"/>
      <c r="C604" s="29"/>
      <c r="D604" s="29"/>
    </row>
    <row r="605" spans="2:6">
      <c r="B605" s="119" t="s">
        <v>285</v>
      </c>
      <c r="C605" s="263">
        <f>SUM(C601:C604)</f>
        <v>21579214</v>
      </c>
      <c r="D605" s="263">
        <f>SUM(D601:D604)</f>
        <v>23294482</v>
      </c>
    </row>
    <row r="607" spans="2:6">
      <c r="B607" s="128" t="s">
        <v>286</v>
      </c>
      <c r="C607" s="124"/>
      <c r="D607" s="124"/>
      <c r="E607" s="124"/>
      <c r="F607" s="124"/>
    </row>
    <row r="608" spans="2:6">
      <c r="B608" s="419" t="s">
        <v>175</v>
      </c>
      <c r="C608" s="419"/>
      <c r="D608" s="419"/>
      <c r="E608" s="419"/>
      <c r="F608" s="419"/>
    </row>
    <row r="610" spans="1:5">
      <c r="B610" s="123" t="s">
        <v>355</v>
      </c>
    </row>
    <row r="611" spans="1:5" ht="30">
      <c r="B611" s="141" t="s">
        <v>239</v>
      </c>
      <c r="C611" s="142" t="s">
        <v>229</v>
      </c>
      <c r="D611" s="142" t="s">
        <v>284</v>
      </c>
    </row>
    <row r="612" spans="1:5">
      <c r="B612" s="32" t="s">
        <v>535</v>
      </c>
      <c r="C612" s="29">
        <v>161351.32</v>
      </c>
      <c r="D612" s="29">
        <v>2779804.52</v>
      </c>
    </row>
    <row r="613" spans="1:5">
      <c r="B613" s="32" t="s">
        <v>780</v>
      </c>
      <c r="C613" s="29">
        <v>10369316</v>
      </c>
      <c r="D613" s="394">
        <v>0</v>
      </c>
    </row>
    <row r="614" spans="1:5">
      <c r="B614" s="189" t="s">
        <v>779</v>
      </c>
      <c r="C614" s="29">
        <v>66915994.799999997</v>
      </c>
      <c r="D614" s="29">
        <v>54011874.460000001</v>
      </c>
    </row>
    <row r="615" spans="1:5">
      <c r="B615" s="189" t="s">
        <v>634</v>
      </c>
      <c r="C615" s="29">
        <v>16550773.58</v>
      </c>
      <c r="D615" s="29">
        <v>0</v>
      </c>
    </row>
    <row r="616" spans="1:5">
      <c r="B616" s="32" t="s">
        <v>478</v>
      </c>
      <c r="C616" s="29">
        <v>0</v>
      </c>
      <c r="D616" s="29">
        <v>14481208.74</v>
      </c>
    </row>
    <row r="617" spans="1:5">
      <c r="B617" s="33" t="s">
        <v>285</v>
      </c>
      <c r="C617" s="34">
        <f>SUM(C612:C616)</f>
        <v>93997435.700000003</v>
      </c>
      <c r="D617" s="34">
        <f>SUM(D612:D616)</f>
        <v>71272887.719999999</v>
      </c>
      <c r="E617" s="9"/>
    </row>
    <row r="619" spans="1:5">
      <c r="B619" s="123" t="s">
        <v>356</v>
      </c>
    </row>
    <row r="620" spans="1:5" ht="25.5">
      <c r="B620" s="143" t="s">
        <v>239</v>
      </c>
      <c r="C620" s="144" t="s">
        <v>229</v>
      </c>
      <c r="D620" s="144" t="s">
        <v>284</v>
      </c>
    </row>
    <row r="621" spans="1:5">
      <c r="B621" s="36" t="s">
        <v>430</v>
      </c>
      <c r="C621" s="29">
        <v>0</v>
      </c>
      <c r="D621" s="29">
        <v>21352707.09</v>
      </c>
    </row>
    <row r="622" spans="1:5">
      <c r="B622" s="36" t="s">
        <v>431</v>
      </c>
      <c r="C622" s="29"/>
      <c r="D622" s="29">
        <v>0</v>
      </c>
    </row>
    <row r="624" spans="1:5">
      <c r="A624"/>
      <c r="B624" s="39" t="s">
        <v>285</v>
      </c>
      <c r="C624" s="40">
        <f>SUM(C621:C623)</f>
        <v>0</v>
      </c>
      <c r="D624" s="40">
        <f>SUM(D621:D623)</f>
        <v>21352707.09</v>
      </c>
    </row>
    <row r="625" spans="1:4">
      <c r="A625"/>
    </row>
    <row r="626" spans="1:4">
      <c r="A626"/>
      <c r="B626" s="123" t="s">
        <v>287</v>
      </c>
    </row>
    <row r="627" spans="1:4">
      <c r="A627"/>
      <c r="B627" s="125" t="s">
        <v>217</v>
      </c>
    </row>
    <row r="628" spans="1:4">
      <c r="A628"/>
    </row>
    <row r="630" spans="1:4" ht="35.25" customHeight="1">
      <c r="A630" s="8" t="s">
        <v>288</v>
      </c>
      <c r="B630" s="418" t="s">
        <v>289</v>
      </c>
      <c r="C630" s="418"/>
      <c r="D630" s="418"/>
    </row>
    <row r="631" spans="1:4">
      <c r="B631" s="421" t="s">
        <v>290</v>
      </c>
      <c r="C631" s="421"/>
      <c r="D631" s="421"/>
    </row>
    <row r="632" spans="1:4">
      <c r="B632" s="419" t="s">
        <v>351</v>
      </c>
      <c r="C632" s="419"/>
      <c r="D632" s="419"/>
    </row>
    <row r="633" spans="1:4">
      <c r="B633" s="124"/>
      <c r="C633" s="124"/>
      <c r="D633" s="124"/>
    </row>
    <row r="634" spans="1:4">
      <c r="B634" s="421" t="s">
        <v>291</v>
      </c>
      <c r="C634" s="421"/>
      <c r="D634" s="421"/>
    </row>
    <row r="635" spans="1:4">
      <c r="B635" s="419" t="s">
        <v>351</v>
      </c>
      <c r="C635" s="419"/>
      <c r="D635" s="124"/>
    </row>
    <row r="636" spans="1:4" ht="33" customHeight="1">
      <c r="B636" s="418" t="s">
        <v>353</v>
      </c>
      <c r="C636" s="418"/>
      <c r="D636" s="418"/>
    </row>
    <row r="638" spans="1:4">
      <c r="B638" s="422" t="s">
        <v>292</v>
      </c>
      <c r="C638" s="423"/>
    </row>
    <row r="639" spans="1:4">
      <c r="B639" s="395" t="s">
        <v>372</v>
      </c>
      <c r="C639" s="396" t="s">
        <v>754</v>
      </c>
    </row>
    <row r="640" spans="1:4">
      <c r="B640" s="395" t="s">
        <v>373</v>
      </c>
      <c r="C640" s="396" t="s">
        <v>837</v>
      </c>
    </row>
    <row r="641" spans="1:4">
      <c r="B641" s="395" t="s">
        <v>374</v>
      </c>
      <c r="C641" s="396" t="s">
        <v>375</v>
      </c>
    </row>
    <row r="642" spans="1:4">
      <c r="B642" s="395" t="s">
        <v>376</v>
      </c>
      <c r="C642" s="396" t="s">
        <v>377</v>
      </c>
    </row>
    <row r="643" spans="1:4">
      <c r="B643" s="395" t="s">
        <v>378</v>
      </c>
      <c r="C643" s="397">
        <v>45702</v>
      </c>
    </row>
    <row r="644" spans="1:4">
      <c r="B644" s="395" t="s">
        <v>379</v>
      </c>
      <c r="C644" s="398">
        <v>45717</v>
      </c>
    </row>
    <row r="645" spans="1:4">
      <c r="B645" s="395" t="s">
        <v>380</v>
      </c>
      <c r="C645" s="398">
        <v>46082</v>
      </c>
    </row>
    <row r="646" spans="1:4">
      <c r="B646" s="395" t="s">
        <v>381</v>
      </c>
      <c r="C646" s="396">
        <v>366</v>
      </c>
    </row>
    <row r="647" spans="1:4">
      <c r="B647" s="395" t="s">
        <v>382</v>
      </c>
      <c r="C647" s="399">
        <v>724762000</v>
      </c>
    </row>
    <row r="649" spans="1:4">
      <c r="A649" s="8" t="s">
        <v>332</v>
      </c>
      <c r="B649" s="127" t="s">
        <v>293</v>
      </c>
      <c r="C649" s="124"/>
      <c r="D649" s="124"/>
    </row>
    <row r="650" spans="1:4" ht="32.25" customHeight="1">
      <c r="B650" s="420" t="s">
        <v>324</v>
      </c>
      <c r="C650" s="420"/>
      <c r="D650" s="420"/>
    </row>
    <row r="651" spans="1:4">
      <c r="B651" s="124"/>
      <c r="C651" s="124"/>
      <c r="D651" s="124"/>
    </row>
    <row r="652" spans="1:4">
      <c r="A652" s="84" t="s">
        <v>294</v>
      </c>
      <c r="B652" s="128" t="s">
        <v>295</v>
      </c>
      <c r="C652" s="124"/>
      <c r="D652" s="124"/>
    </row>
    <row r="653" spans="1:4">
      <c r="B653" s="129" t="s">
        <v>323</v>
      </c>
      <c r="C653" s="124"/>
      <c r="D653" s="124"/>
    </row>
    <row r="655" spans="1:4">
      <c r="A655" s="8" t="s">
        <v>333</v>
      </c>
      <c r="B655" s="123" t="s">
        <v>296</v>
      </c>
      <c r="C655" s="124"/>
      <c r="D655" s="124"/>
    </row>
    <row r="656" spans="1:4" ht="25.5">
      <c r="B656" s="125" t="s">
        <v>383</v>
      </c>
      <c r="C656" s="124"/>
      <c r="D656" s="124"/>
    </row>
    <row r="657" spans="1:9">
      <c r="B657" s="124"/>
      <c r="C657" s="124"/>
      <c r="D657" s="124"/>
    </row>
    <row r="658" spans="1:9">
      <c r="A658" s="8" t="s">
        <v>297</v>
      </c>
      <c r="B658" s="130" t="s">
        <v>298</v>
      </c>
      <c r="C658" s="124"/>
      <c r="D658" s="124"/>
    </row>
    <row r="659" spans="1:9">
      <c r="B659" s="125" t="s">
        <v>351</v>
      </c>
      <c r="C659" s="124"/>
      <c r="D659" s="124"/>
    </row>
    <row r="660" spans="1:9">
      <c r="B660" s="124"/>
      <c r="C660" s="124"/>
      <c r="D660" s="124"/>
    </row>
    <row r="661" spans="1:9">
      <c r="A661" s="8" t="s">
        <v>299</v>
      </c>
      <c r="B661" s="123" t="s">
        <v>300</v>
      </c>
      <c r="C661" s="124"/>
      <c r="D661" s="124"/>
    </row>
    <row r="662" spans="1:9">
      <c r="B662" s="129" t="s">
        <v>322</v>
      </c>
      <c r="C662" s="124"/>
      <c r="D662" s="124"/>
    </row>
    <row r="664" spans="1:9">
      <c r="B664" s="107"/>
    </row>
    <row r="665" spans="1:9">
      <c r="B665" s="108"/>
    </row>
    <row r="666" spans="1:9">
      <c r="A666" s="424" t="s">
        <v>604</v>
      </c>
      <c r="B666" s="425"/>
      <c r="C666" s="425"/>
      <c r="D666" s="425"/>
      <c r="E666" s="425"/>
      <c r="F666" s="425"/>
      <c r="G666" s="425"/>
      <c r="H666" s="425"/>
      <c r="I666" s="425"/>
    </row>
    <row r="667" spans="1:9">
      <c r="A667" s="426" t="s">
        <v>753</v>
      </c>
      <c r="B667" s="426"/>
      <c r="C667" s="426"/>
      <c r="D667" s="426"/>
      <c r="E667" s="426"/>
      <c r="F667" s="426"/>
      <c r="G667" s="426"/>
      <c r="H667" s="426"/>
      <c r="I667" s="426"/>
    </row>
    <row r="668" spans="1:9" ht="6.6" customHeight="1">
      <c r="A668"/>
      <c r="H668" s="265"/>
      <c r="I668" s="266"/>
    </row>
    <row r="669" spans="1:9">
      <c r="A669" s="267" t="s">
        <v>603</v>
      </c>
      <c r="B669" s="267"/>
      <c r="C669" s="267"/>
      <c r="D669" s="267"/>
      <c r="E669" s="267"/>
      <c r="F669" s="267"/>
      <c r="G669" s="267"/>
      <c r="H669" s="268"/>
      <c r="I669" s="269"/>
    </row>
    <row r="671" spans="1:9">
      <c r="A671" s="272" t="s">
        <v>549</v>
      </c>
      <c r="B671" s="272"/>
      <c r="C671" s="272" t="s">
        <v>377</v>
      </c>
      <c r="D671" s="272"/>
      <c r="E671" s="272"/>
      <c r="F671" s="272"/>
      <c r="G671" s="270"/>
      <c r="H671" s="271"/>
      <c r="I671" s="266"/>
    </row>
    <row r="672" spans="1:9">
      <c r="A672" s="272" t="s">
        <v>550</v>
      </c>
      <c r="B672" s="272"/>
      <c r="C672" s="272" t="s">
        <v>584</v>
      </c>
      <c r="D672" s="272"/>
      <c r="E672" s="272"/>
      <c r="F672" s="272"/>
      <c r="G672" s="270"/>
      <c r="H672" s="271"/>
      <c r="I672" s="266"/>
    </row>
    <row r="673" spans="1:9">
      <c r="A673" s="272" t="s">
        <v>551</v>
      </c>
      <c r="B673" s="272"/>
      <c r="C673" s="272" t="s">
        <v>552</v>
      </c>
      <c r="D673" s="272"/>
      <c r="E673" s="272"/>
      <c r="F673" s="272"/>
      <c r="G673" s="270"/>
      <c r="H673" s="271"/>
      <c r="I673" s="266"/>
    </row>
    <row r="674" spans="1:9">
      <c r="A674" s="272" t="s">
        <v>553</v>
      </c>
      <c r="B674" s="272"/>
      <c r="C674" s="273">
        <v>8003</v>
      </c>
      <c r="D674" s="272"/>
      <c r="E674" s="272"/>
      <c r="F674" s="272"/>
      <c r="G674" s="272"/>
      <c r="H674" s="271"/>
      <c r="I674" s="266"/>
    </row>
    <row r="675" spans="1:9">
      <c r="A675" s="272" t="s">
        <v>554</v>
      </c>
      <c r="B675" s="272"/>
      <c r="C675" s="274" t="s">
        <v>555</v>
      </c>
      <c r="D675" s="274"/>
      <c r="E675" s="274"/>
      <c r="F675" s="274"/>
      <c r="G675" s="270"/>
      <c r="H675" s="271"/>
      <c r="I675" s="266"/>
    </row>
    <row r="676" spans="1:9">
      <c r="A676" s="272" t="s">
        <v>556</v>
      </c>
      <c r="B676" s="272"/>
      <c r="C676" s="275" t="s">
        <v>585</v>
      </c>
      <c r="D676" s="272"/>
      <c r="E676" s="272"/>
      <c r="F676" s="272"/>
      <c r="G676" s="270"/>
      <c r="H676" s="271"/>
      <c r="I676" s="266"/>
    </row>
    <row r="677" spans="1:9">
      <c r="A677" s="272" t="s">
        <v>557</v>
      </c>
      <c r="B677" s="272"/>
      <c r="C677" s="272" t="s">
        <v>558</v>
      </c>
      <c r="D677" s="272"/>
      <c r="E677" s="272"/>
      <c r="F677" s="272"/>
      <c r="G677" s="270"/>
      <c r="H677" s="271"/>
      <c r="I677" s="266"/>
    </row>
    <row r="678" spans="1:9">
      <c r="A678" s="272" t="s">
        <v>559</v>
      </c>
      <c r="B678" s="272"/>
      <c r="C678" s="272" t="s">
        <v>560</v>
      </c>
      <c r="D678" s="272"/>
      <c r="E678" s="272"/>
      <c r="F678" s="272"/>
      <c r="G678" s="270"/>
      <c r="H678" s="271"/>
      <c r="I678" s="266"/>
    </row>
    <row r="679" spans="1:9">
      <c r="A679" s="272" t="s">
        <v>561</v>
      </c>
      <c r="B679" s="272"/>
      <c r="C679" s="274" t="s">
        <v>555</v>
      </c>
      <c r="D679" s="274"/>
      <c r="E679" s="274"/>
      <c r="F679" s="274"/>
      <c r="G679" s="270"/>
      <c r="H679" s="271"/>
      <c r="I679" s="266"/>
    </row>
    <row r="680" spans="1:9" ht="8.85" customHeight="1">
      <c r="A680" s="270"/>
      <c r="B680" s="270"/>
      <c r="C680" s="270"/>
      <c r="D680" s="270"/>
      <c r="E680" s="270"/>
      <c r="F680" s="270"/>
      <c r="G680" s="270"/>
      <c r="H680" s="271"/>
      <c r="I680" s="266"/>
    </row>
    <row r="681" spans="1:9">
      <c r="A681" s="267" t="s">
        <v>602</v>
      </c>
      <c r="B681" s="267"/>
      <c r="C681" s="267"/>
      <c r="D681" s="267"/>
      <c r="E681" s="267"/>
      <c r="F681" s="267"/>
      <c r="G681" s="267"/>
      <c r="H681" s="268"/>
      <c r="I681" s="269"/>
    </row>
    <row r="682" spans="1:9" ht="8.85" customHeight="1">
      <c r="A682" s="276"/>
      <c r="B682" s="276"/>
      <c r="C682" s="276"/>
      <c r="D682" s="276"/>
      <c r="E682" s="276"/>
      <c r="F682" s="276"/>
      <c r="G682" s="276"/>
      <c r="H682" s="277"/>
      <c r="I682" s="266"/>
    </row>
    <row r="683" spans="1:9" ht="29.45" customHeight="1">
      <c r="A683" s="427" t="s">
        <v>562</v>
      </c>
      <c r="B683" s="427"/>
      <c r="C683" s="427"/>
      <c r="D683" s="427"/>
      <c r="E683" s="427"/>
      <c r="F683" s="427"/>
      <c r="G683" s="427"/>
      <c r="H683" s="427"/>
      <c r="I683" s="427"/>
    </row>
    <row r="684" spans="1:9" ht="51.6" customHeight="1">
      <c r="A684" s="428" t="s">
        <v>387</v>
      </c>
      <c r="B684" s="428"/>
      <c r="C684" s="428"/>
      <c r="D684" s="428"/>
      <c r="E684" s="428"/>
      <c r="F684" s="428"/>
      <c r="G684" s="428"/>
      <c r="H684" s="428"/>
      <c r="I684" s="428"/>
    </row>
    <row r="685" spans="1:9" ht="29.45" customHeight="1">
      <c r="A685" s="428" t="s">
        <v>136</v>
      </c>
      <c r="B685" s="428"/>
      <c r="C685" s="428"/>
      <c r="D685" s="428"/>
      <c r="E685" s="428"/>
      <c r="F685" s="428"/>
      <c r="G685" s="428"/>
      <c r="H685" s="428"/>
      <c r="I685" s="428"/>
    </row>
    <row r="686" spans="1:9" ht="48" customHeight="1">
      <c r="A686" s="428" t="s">
        <v>137</v>
      </c>
      <c r="B686" s="428"/>
      <c r="C686" s="428"/>
      <c r="D686" s="428"/>
      <c r="E686" s="428"/>
      <c r="F686" s="428"/>
      <c r="G686" s="428"/>
      <c r="H686" s="428"/>
      <c r="I686" s="428"/>
    </row>
    <row r="687" spans="1:9" ht="38.1" customHeight="1">
      <c r="A687" s="430" t="s">
        <v>755</v>
      </c>
      <c r="B687" s="430"/>
      <c r="C687" s="430"/>
      <c r="D687" s="430"/>
      <c r="E687" s="430"/>
      <c r="F687" s="430"/>
      <c r="G687" s="430"/>
      <c r="H687" s="430"/>
      <c r="I687" s="430"/>
    </row>
    <row r="688" spans="1:9">
      <c r="A688" s="430"/>
      <c r="B688" s="430"/>
      <c r="C688" s="430"/>
      <c r="D688" s="430"/>
      <c r="E688" s="430"/>
      <c r="F688" s="430"/>
      <c r="G688" s="430"/>
      <c r="H688" s="430"/>
      <c r="I688" s="430"/>
    </row>
    <row r="689" spans="1:9">
      <c r="A689" s="430"/>
      <c r="B689" s="430"/>
      <c r="C689" s="430"/>
      <c r="D689" s="430"/>
      <c r="E689" s="430"/>
      <c r="F689" s="430"/>
      <c r="G689" s="430"/>
      <c r="H689" s="430"/>
      <c r="I689" s="430"/>
    </row>
    <row r="690" spans="1:9" ht="28.5" customHeight="1">
      <c r="A690" s="430"/>
      <c r="B690" s="430"/>
      <c r="C690" s="430"/>
      <c r="D690" s="430"/>
      <c r="E690" s="430"/>
      <c r="F690" s="430"/>
      <c r="G690" s="430"/>
      <c r="H690" s="430"/>
      <c r="I690" s="430"/>
    </row>
    <row r="691" spans="1:9" ht="9.6" customHeight="1">
      <c r="A691" s="279"/>
      <c r="B691" s="452"/>
      <c r="C691" s="452"/>
      <c r="D691" s="452"/>
      <c r="E691" s="452"/>
      <c r="F691" s="452"/>
      <c r="G691" s="452"/>
      <c r="H691" s="452"/>
      <c r="I691" s="266"/>
    </row>
    <row r="692" spans="1:9">
      <c r="A692" s="267" t="s">
        <v>600</v>
      </c>
      <c r="B692" s="267"/>
      <c r="C692" s="267"/>
      <c r="D692" s="267"/>
      <c r="E692" s="267"/>
      <c r="F692" s="267"/>
      <c r="G692" s="267"/>
      <c r="H692" s="268"/>
      <c r="I692" s="269"/>
    </row>
    <row r="693" spans="1:9">
      <c r="A693" s="279"/>
      <c r="B693" s="280"/>
      <c r="H693" s="281"/>
      <c r="I693" s="266"/>
    </row>
    <row r="694" spans="1:9">
      <c r="A694" s="453" t="s">
        <v>563</v>
      </c>
      <c r="B694" s="453"/>
      <c r="C694" s="282" t="s">
        <v>564</v>
      </c>
      <c r="D694" s="282"/>
      <c r="E694" s="282"/>
      <c r="F694" s="282"/>
      <c r="G694" s="282"/>
      <c r="H694" s="283"/>
      <c r="I694" s="266"/>
    </row>
    <row r="695" spans="1:9">
      <c r="A695" s="453" t="s">
        <v>565</v>
      </c>
      <c r="B695" s="453"/>
      <c r="C695" s="453"/>
      <c r="D695" s="282"/>
      <c r="E695" s="282"/>
      <c r="F695" s="282"/>
      <c r="G695" s="284"/>
      <c r="H695" s="285"/>
      <c r="I695" s="266"/>
    </row>
    <row r="696" spans="1:9" ht="14.85" customHeight="1">
      <c r="A696" s="429" t="s">
        <v>352</v>
      </c>
      <c r="B696" s="429"/>
      <c r="C696" s="430" t="s">
        <v>566</v>
      </c>
      <c r="D696" s="430"/>
      <c r="E696" s="430"/>
      <c r="F696" s="430"/>
      <c r="G696" s="430"/>
      <c r="H696" s="430"/>
      <c r="I696" s="266"/>
    </row>
    <row r="697" spans="1:9" ht="14.85" customHeight="1">
      <c r="A697" s="429" t="s">
        <v>567</v>
      </c>
      <c r="B697" s="429"/>
      <c r="C697" s="430" t="s">
        <v>568</v>
      </c>
      <c r="D697" s="430"/>
      <c r="E697" s="430"/>
      <c r="F697" s="430"/>
      <c r="G697" s="430"/>
      <c r="H697" s="430"/>
      <c r="I697" s="266"/>
    </row>
    <row r="698" spans="1:9" ht="14.85" customHeight="1">
      <c r="A698" s="429" t="s">
        <v>569</v>
      </c>
      <c r="B698" s="429"/>
      <c r="C698" s="430" t="s">
        <v>570</v>
      </c>
      <c r="D698" s="430"/>
      <c r="E698" s="430"/>
      <c r="F698" s="430"/>
      <c r="G698" s="430"/>
      <c r="H698" s="430"/>
      <c r="I698" s="266"/>
    </row>
    <row r="699" spans="1:9" ht="14.85" customHeight="1">
      <c r="A699" s="429" t="s">
        <v>571</v>
      </c>
      <c r="B699" s="429"/>
      <c r="C699" s="278" t="s">
        <v>572</v>
      </c>
      <c r="D699" s="278"/>
      <c r="E699" s="278"/>
      <c r="F699" s="278"/>
      <c r="G699" s="278"/>
      <c r="H699" s="287"/>
      <c r="I699" s="266"/>
    </row>
    <row r="700" spans="1:9" ht="14.85" customHeight="1">
      <c r="A700" s="429" t="s">
        <v>571</v>
      </c>
      <c r="B700" s="429"/>
      <c r="C700" s="278" t="s">
        <v>573</v>
      </c>
      <c r="D700" s="278"/>
      <c r="E700" s="278"/>
      <c r="F700" s="278"/>
      <c r="G700" s="278"/>
      <c r="H700" s="287"/>
      <c r="I700" s="266"/>
    </row>
    <row r="701" spans="1:9" ht="6.6" customHeight="1">
      <c r="A701" s="286"/>
      <c r="B701" s="286"/>
      <c r="C701" s="278"/>
      <c r="D701" s="278"/>
      <c r="E701" s="278"/>
      <c r="F701" s="278"/>
      <c r="G701" s="278"/>
      <c r="H701" s="287"/>
      <c r="I701" s="266"/>
    </row>
    <row r="702" spans="1:9" ht="16.350000000000001" customHeight="1">
      <c r="A702" s="453" t="s">
        <v>574</v>
      </c>
      <c r="B702" s="453"/>
      <c r="C702" s="430" t="s">
        <v>575</v>
      </c>
      <c r="D702" s="430"/>
      <c r="E702" s="430"/>
      <c r="F702" s="430"/>
      <c r="G702" s="430"/>
      <c r="H702" s="287"/>
      <c r="I702" s="266"/>
    </row>
    <row r="703" spans="1:9" ht="16.350000000000001" customHeight="1">
      <c r="A703" s="453" t="s">
        <v>576</v>
      </c>
      <c r="B703" s="453"/>
      <c r="C703" s="430" t="s">
        <v>577</v>
      </c>
      <c r="D703" s="430"/>
      <c r="E703" s="430"/>
      <c r="F703" s="430"/>
      <c r="G703" s="430"/>
      <c r="H703" s="287"/>
    </row>
    <row r="704" spans="1:9" ht="6.6" customHeight="1">
      <c r="A704" s="286"/>
      <c r="B704" s="286"/>
      <c r="C704" s="278"/>
      <c r="D704" s="278"/>
      <c r="E704" s="278"/>
      <c r="F704" s="278"/>
      <c r="G704" s="278"/>
      <c r="H704" s="287"/>
    </row>
    <row r="705" spans="1:8" ht="14.85" customHeight="1">
      <c r="A705" s="453" t="s">
        <v>578</v>
      </c>
      <c r="B705" s="453"/>
      <c r="C705" s="288"/>
      <c r="D705" s="288"/>
      <c r="E705" s="288"/>
      <c r="F705" s="288"/>
      <c r="G705" s="288"/>
      <c r="H705" s="289"/>
    </row>
    <row r="706" spans="1:8" ht="14.85" customHeight="1">
      <c r="A706" s="429" t="s">
        <v>579</v>
      </c>
      <c r="B706" s="429"/>
      <c r="C706" s="430" t="s">
        <v>566</v>
      </c>
      <c r="D706" s="430"/>
      <c r="E706" s="430"/>
      <c r="F706" s="430"/>
      <c r="G706" s="430"/>
      <c r="H706" s="430"/>
    </row>
    <row r="707" spans="1:8" ht="14.85" customHeight="1">
      <c r="A707" s="429" t="s">
        <v>567</v>
      </c>
      <c r="B707" s="429"/>
      <c r="C707" s="430" t="s">
        <v>568</v>
      </c>
      <c r="D707" s="430"/>
      <c r="E707" s="430"/>
      <c r="F707" s="430"/>
      <c r="G707" s="430"/>
      <c r="H707" s="430"/>
    </row>
    <row r="708" spans="1:8" ht="14.85" customHeight="1">
      <c r="A708" s="429" t="s">
        <v>580</v>
      </c>
      <c r="B708" s="429"/>
      <c r="C708" s="286" t="s">
        <v>581</v>
      </c>
      <c r="D708" s="286"/>
      <c r="E708" s="286"/>
      <c r="F708" s="286"/>
      <c r="G708" s="288"/>
      <c r="H708" s="289"/>
    </row>
    <row r="709" spans="1:8" ht="14.85" customHeight="1">
      <c r="A709" s="429" t="s">
        <v>582</v>
      </c>
      <c r="B709" s="429"/>
      <c r="C709" s="286" t="s">
        <v>583</v>
      </c>
      <c r="D709" s="286"/>
      <c r="E709" s="286"/>
      <c r="F709" s="286"/>
      <c r="G709" s="288"/>
      <c r="H709" s="289"/>
    </row>
    <row r="710" spans="1:8">
      <c r="A710"/>
    </row>
    <row r="711" spans="1:8">
      <c r="A711" s="267"/>
      <c r="B711" s="267" t="s">
        <v>586</v>
      </c>
      <c r="C711" s="267"/>
      <c r="D711" s="267"/>
      <c r="E711" s="267"/>
      <c r="F711" s="267"/>
      <c r="G711" s="267"/>
    </row>
    <row r="712" spans="1:8" ht="14.85" customHeight="1">
      <c r="A712"/>
    </row>
    <row r="713" spans="1:8">
      <c r="A713" s="453" t="s">
        <v>587</v>
      </c>
      <c r="B713" s="453"/>
      <c r="C713" s="284" t="s">
        <v>494</v>
      </c>
      <c r="D713" s="284"/>
      <c r="E713" s="284"/>
      <c r="F713" s="284"/>
      <c r="G713" s="284"/>
    </row>
    <row r="714" spans="1:8">
      <c r="A714" s="453" t="s">
        <v>588</v>
      </c>
      <c r="B714" s="453"/>
      <c r="C714" s="284" t="s">
        <v>589</v>
      </c>
      <c r="D714" s="284"/>
      <c r="E714" s="284"/>
      <c r="F714" s="284"/>
      <c r="G714" s="284"/>
    </row>
    <row r="715" spans="1:8" ht="16.350000000000001" customHeight="1">
      <c r="A715" s="453" t="s">
        <v>551</v>
      </c>
      <c r="B715" s="453"/>
      <c r="C715" s="290" t="s">
        <v>590</v>
      </c>
      <c r="D715" s="284"/>
      <c r="E715" s="284"/>
      <c r="F715" s="284"/>
      <c r="G715" s="284"/>
    </row>
    <row r="716" spans="1:8">
      <c r="A716" s="453" t="s">
        <v>591</v>
      </c>
      <c r="B716" s="453"/>
      <c r="C716" s="284" t="s">
        <v>592</v>
      </c>
      <c r="D716" s="284"/>
      <c r="E716" s="284"/>
      <c r="F716" s="284"/>
      <c r="G716" s="284"/>
    </row>
    <row r="717" spans="1:8">
      <c r="A717" s="453" t="s">
        <v>556</v>
      </c>
      <c r="B717" s="453"/>
      <c r="C717" s="284" t="s">
        <v>593</v>
      </c>
      <c r="D717" s="284"/>
      <c r="E717" s="284"/>
      <c r="F717" s="284"/>
      <c r="G717" s="284"/>
    </row>
    <row r="719" spans="1:8">
      <c r="A719" s="267" t="s">
        <v>601</v>
      </c>
      <c r="B719" s="267" t="s">
        <v>594</v>
      </c>
      <c r="C719" s="267"/>
      <c r="D719" s="267"/>
      <c r="E719" s="267"/>
      <c r="F719" s="267"/>
      <c r="G719" s="267"/>
    </row>
    <row r="720" spans="1:8">
      <c r="A720"/>
    </row>
    <row r="721" spans="1:10">
      <c r="A721" s="454" t="s">
        <v>595</v>
      </c>
      <c r="B721" s="454"/>
      <c r="C721" s="454" t="s">
        <v>596</v>
      </c>
      <c r="D721" s="454"/>
      <c r="E721" s="454"/>
      <c r="F721" s="454"/>
      <c r="G721" s="454"/>
    </row>
    <row r="722" spans="1:10">
      <c r="A722" s="455" t="s">
        <v>566</v>
      </c>
      <c r="B722" s="455"/>
      <c r="C722" s="455" t="s">
        <v>579</v>
      </c>
      <c r="D722" s="455"/>
      <c r="E722" s="455"/>
      <c r="F722" s="455"/>
      <c r="G722" s="455"/>
    </row>
    <row r="723" spans="1:10">
      <c r="A723" s="455" t="s">
        <v>568</v>
      </c>
      <c r="B723" s="455"/>
      <c r="C723" s="455" t="s">
        <v>567</v>
      </c>
      <c r="D723" s="455"/>
      <c r="E723" s="455"/>
      <c r="F723" s="455"/>
      <c r="G723" s="455"/>
    </row>
    <row r="724" spans="1:10">
      <c r="A724" s="455" t="s">
        <v>597</v>
      </c>
      <c r="B724" s="455"/>
      <c r="C724" s="455" t="s">
        <v>598</v>
      </c>
      <c r="D724" s="455"/>
      <c r="E724" s="455"/>
      <c r="F724" s="455"/>
      <c r="G724" s="455"/>
    </row>
    <row r="725" spans="1:10">
      <c r="A725" s="455" t="s">
        <v>575</v>
      </c>
      <c r="B725" s="455"/>
      <c r="C725" s="455" t="s">
        <v>574</v>
      </c>
      <c r="D725" s="455"/>
      <c r="E725" s="455"/>
      <c r="F725" s="455"/>
      <c r="G725" s="455"/>
    </row>
    <row r="726" spans="1:10">
      <c r="A726" s="429" t="s">
        <v>581</v>
      </c>
      <c r="B726" s="429"/>
      <c r="C726" s="291" t="s">
        <v>599</v>
      </c>
      <c r="D726" s="291"/>
      <c r="E726" s="291"/>
      <c r="F726" s="291"/>
      <c r="G726" s="291"/>
    </row>
    <row r="727" spans="1:10">
      <c r="A727"/>
    </row>
    <row r="728" spans="1:10">
      <c r="A728"/>
    </row>
    <row r="729" spans="1:10">
      <c r="A729"/>
    </row>
    <row r="730" spans="1:10">
      <c r="A730" s="295"/>
      <c r="B730" s="267" t="s">
        <v>731</v>
      </c>
      <c r="C730" s="267"/>
      <c r="D730" s="267"/>
      <c r="E730" s="267"/>
      <c r="F730" s="267"/>
      <c r="G730" s="267"/>
      <c r="H730" s="267"/>
      <c r="I730" s="268"/>
      <c r="J730" s="269"/>
    </row>
    <row r="731" spans="1:10" ht="14.85" customHeight="1">
      <c r="A731" s="295"/>
      <c r="B731" s="463" t="s">
        <v>637</v>
      </c>
      <c r="C731" s="463"/>
      <c r="D731" s="463"/>
      <c r="E731" s="463"/>
      <c r="F731" s="463"/>
      <c r="G731" s="463"/>
      <c r="H731" s="463"/>
      <c r="I731" s="463"/>
      <c r="J731" s="463"/>
    </row>
    <row r="732" spans="1:10">
      <c r="A732" s="295"/>
      <c r="B732" s="463"/>
      <c r="C732" s="463"/>
      <c r="D732" s="463"/>
      <c r="E732" s="463"/>
      <c r="F732" s="463"/>
      <c r="G732" s="463"/>
      <c r="H732" s="463"/>
      <c r="I732" s="463"/>
      <c r="J732" s="463"/>
    </row>
    <row r="733" spans="1:10">
      <c r="A733" s="295"/>
      <c r="B733" s="463"/>
      <c r="C733" s="463"/>
      <c r="D733" s="463"/>
      <c r="E733" s="463"/>
      <c r="F733" s="463"/>
      <c r="G733" s="463"/>
      <c r="H733" s="463"/>
      <c r="I733" s="463"/>
      <c r="J733" s="463"/>
    </row>
    <row r="734" spans="1:10" ht="16.350000000000001" customHeight="1">
      <c r="A734" s="295"/>
      <c r="B734" s="463"/>
      <c r="C734" s="463"/>
      <c r="D734" s="463"/>
      <c r="E734" s="463"/>
      <c r="F734" s="463"/>
      <c r="G734" s="463"/>
      <c r="H734" s="463"/>
      <c r="I734" s="463"/>
      <c r="J734" s="463"/>
    </row>
    <row r="735" spans="1:10">
      <c r="A735" s="295"/>
      <c r="B735" s="464" t="s">
        <v>638</v>
      </c>
      <c r="C735" s="465"/>
      <c r="D735" s="296">
        <v>6500000000</v>
      </c>
      <c r="E735" s="297"/>
      <c r="F735" s="297"/>
      <c r="G735" s="297"/>
      <c r="I735" s="281"/>
      <c r="J735" s="266"/>
    </row>
    <row r="736" spans="1:10">
      <c r="A736" s="295"/>
      <c r="B736" s="464" t="s">
        <v>639</v>
      </c>
      <c r="C736" s="465"/>
      <c r="D736" s="296">
        <v>4534400000</v>
      </c>
      <c r="E736" s="297"/>
      <c r="F736" s="297"/>
      <c r="G736" s="297"/>
      <c r="I736" s="281"/>
      <c r="J736" s="266"/>
    </row>
    <row r="737" spans="1:11">
      <c r="A737" s="295"/>
      <c r="B737" s="464" t="s">
        <v>640</v>
      </c>
      <c r="C737" s="465"/>
      <c r="D737" s="296">
        <f>+D736</f>
        <v>4534400000</v>
      </c>
      <c r="E737" s="297"/>
      <c r="F737" s="297"/>
      <c r="G737" s="297"/>
      <c r="I737" s="281"/>
      <c r="J737" s="266"/>
    </row>
    <row r="738" spans="1:11">
      <c r="A738" s="295"/>
      <c r="B738" s="464" t="s">
        <v>641</v>
      </c>
      <c r="C738" s="466"/>
      <c r="D738" s="296">
        <f>+D735-D737</f>
        <v>1965600000</v>
      </c>
      <c r="E738" s="297"/>
      <c r="F738" s="297"/>
      <c r="G738" s="297"/>
      <c r="I738" s="281"/>
      <c r="J738" s="266"/>
    </row>
    <row r="739" spans="1:11">
      <c r="A739" s="295"/>
      <c r="I739" s="281"/>
      <c r="J739" s="266"/>
    </row>
    <row r="740" spans="1:11">
      <c r="A740" s="295"/>
      <c r="B740" s="270" t="s">
        <v>642</v>
      </c>
      <c r="C740" s="270"/>
      <c r="D740" s="270"/>
      <c r="E740" s="270"/>
      <c r="F740" s="270"/>
      <c r="G740" s="270"/>
      <c r="H740" s="284"/>
      <c r="I740" s="281"/>
      <c r="J740" s="266"/>
    </row>
    <row r="741" spans="1:11" ht="22.5">
      <c r="A741" s="298" t="s">
        <v>643</v>
      </c>
      <c r="B741" s="298" t="s">
        <v>644</v>
      </c>
      <c r="C741" s="298" t="s">
        <v>645</v>
      </c>
      <c r="D741" s="298" t="s">
        <v>646</v>
      </c>
      <c r="E741" s="298" t="s">
        <v>647</v>
      </c>
      <c r="F741" s="298" t="s">
        <v>648</v>
      </c>
      <c r="G741" s="298" t="s">
        <v>649</v>
      </c>
      <c r="H741" s="298" t="s">
        <v>650</v>
      </c>
      <c r="I741" s="298" t="s">
        <v>192</v>
      </c>
      <c r="J741" s="298" t="s">
        <v>499</v>
      </c>
      <c r="K741" s="299" t="s">
        <v>651</v>
      </c>
    </row>
    <row r="742" spans="1:11">
      <c r="A742" s="456" t="s">
        <v>652</v>
      </c>
      <c r="B742" s="300" t="s">
        <v>653</v>
      </c>
      <c r="C742" s="301">
        <v>5</v>
      </c>
      <c r="D742" s="302">
        <v>151</v>
      </c>
      <c r="E742" s="301">
        <v>160</v>
      </c>
      <c r="F742" s="302" t="s">
        <v>654</v>
      </c>
      <c r="G742" s="303">
        <v>10</v>
      </c>
      <c r="H742" s="302">
        <v>10</v>
      </c>
      <c r="I742" s="304">
        <v>100000</v>
      </c>
      <c r="J742" s="305">
        <v>1000000</v>
      </c>
      <c r="K742" s="306">
        <f>J742/$D$736</f>
        <v>2.2053634438955541E-4</v>
      </c>
    </row>
    <row r="743" spans="1:11">
      <c r="A743" s="456"/>
      <c r="B743" s="307" t="s">
        <v>655</v>
      </c>
      <c r="C743" s="301">
        <v>35</v>
      </c>
      <c r="D743" s="308">
        <v>182</v>
      </c>
      <c r="E743" s="301">
        <v>200</v>
      </c>
      <c r="F743" s="308" t="s">
        <v>654</v>
      </c>
      <c r="G743" s="303">
        <v>19</v>
      </c>
      <c r="H743" s="308">
        <v>19</v>
      </c>
      <c r="I743" s="304">
        <v>100000</v>
      </c>
      <c r="J743" s="309">
        <v>1900000</v>
      </c>
      <c r="K743" s="306">
        <f t="shared" ref="K743:K806" si="3">J743/$D$736</f>
        <v>4.1901905434015528E-4</v>
      </c>
    </row>
    <row r="744" spans="1:11">
      <c r="A744" s="456"/>
      <c r="B744" s="307" t="s">
        <v>656</v>
      </c>
      <c r="C744" s="301">
        <v>102</v>
      </c>
      <c r="D744" s="308">
        <v>1</v>
      </c>
      <c r="E744" s="301">
        <v>12</v>
      </c>
      <c r="F744" s="308" t="s">
        <v>654</v>
      </c>
      <c r="G744" s="303">
        <v>12</v>
      </c>
      <c r="H744" s="308">
        <v>12</v>
      </c>
      <c r="I744" s="304">
        <v>100000</v>
      </c>
      <c r="J744" s="309">
        <v>1200000</v>
      </c>
      <c r="K744" s="306">
        <f t="shared" si="3"/>
        <v>2.6464361326746649E-4</v>
      </c>
    </row>
    <row r="745" spans="1:11">
      <c r="A745" s="457" t="s">
        <v>657</v>
      </c>
      <c r="B745" s="300" t="s">
        <v>658</v>
      </c>
      <c r="C745" s="310">
        <v>33</v>
      </c>
      <c r="D745" s="302">
        <v>103</v>
      </c>
      <c r="E745" s="310">
        <v>200</v>
      </c>
      <c r="F745" s="302" t="s">
        <v>654</v>
      </c>
      <c r="G745" s="311">
        <v>98</v>
      </c>
      <c r="H745" s="302">
        <v>98</v>
      </c>
      <c r="I745" s="312">
        <v>100000</v>
      </c>
      <c r="J745" s="305">
        <v>9800000</v>
      </c>
      <c r="K745" s="306">
        <f t="shared" si="3"/>
        <v>2.161256175017643E-3</v>
      </c>
    </row>
    <row r="746" spans="1:11">
      <c r="A746" s="458"/>
      <c r="B746" s="307" t="s">
        <v>655</v>
      </c>
      <c r="C746" s="301">
        <v>34</v>
      </c>
      <c r="D746" s="308">
        <v>1</v>
      </c>
      <c r="E746" s="301">
        <v>181</v>
      </c>
      <c r="F746" s="308" t="s">
        <v>654</v>
      </c>
      <c r="G746" s="303">
        <v>181</v>
      </c>
      <c r="H746" s="308">
        <v>181</v>
      </c>
      <c r="I746" s="304">
        <v>100000</v>
      </c>
      <c r="J746" s="309">
        <v>18100000</v>
      </c>
      <c r="K746" s="306">
        <f t="shared" si="3"/>
        <v>3.9917078334509529E-3</v>
      </c>
    </row>
    <row r="747" spans="1:11">
      <c r="A747" s="458"/>
      <c r="B747" s="307" t="s">
        <v>659</v>
      </c>
      <c r="C747" s="301">
        <v>57</v>
      </c>
      <c r="D747" s="308">
        <v>1</v>
      </c>
      <c r="E747" s="301">
        <v>136</v>
      </c>
      <c r="F747" s="308" t="s">
        <v>654</v>
      </c>
      <c r="G747" s="303">
        <v>136</v>
      </c>
      <c r="H747" s="308">
        <v>136</v>
      </c>
      <c r="I747" s="304">
        <v>100000</v>
      </c>
      <c r="J747" s="309">
        <v>13600000</v>
      </c>
      <c r="K747" s="306">
        <f t="shared" si="3"/>
        <v>2.9992942836979536E-3</v>
      </c>
    </row>
    <row r="748" spans="1:11">
      <c r="A748" s="458"/>
      <c r="B748" s="307" t="s">
        <v>660</v>
      </c>
      <c r="C748" s="301">
        <v>71</v>
      </c>
      <c r="D748" s="308">
        <v>200</v>
      </c>
      <c r="E748" s="301">
        <v>200</v>
      </c>
      <c r="F748" s="308" t="s">
        <v>654</v>
      </c>
      <c r="G748" s="303">
        <v>1</v>
      </c>
      <c r="H748" s="308">
        <v>1</v>
      </c>
      <c r="I748" s="304">
        <v>100000</v>
      </c>
      <c r="J748" s="309">
        <v>100000</v>
      </c>
      <c r="K748" s="306">
        <f t="shared" si="3"/>
        <v>2.2053634438955541E-5</v>
      </c>
    </row>
    <row r="749" spans="1:11">
      <c r="A749" s="458"/>
      <c r="B749" s="307" t="s">
        <v>661</v>
      </c>
      <c r="C749" s="301">
        <v>88</v>
      </c>
      <c r="D749" s="308">
        <v>54</v>
      </c>
      <c r="E749" s="301">
        <v>143</v>
      </c>
      <c r="F749" s="308" t="s">
        <v>654</v>
      </c>
      <c r="G749" s="303">
        <v>90</v>
      </c>
      <c r="H749" s="308">
        <v>90</v>
      </c>
      <c r="I749" s="304">
        <v>100000</v>
      </c>
      <c r="J749" s="309">
        <v>9000000</v>
      </c>
      <c r="K749" s="306">
        <f t="shared" si="3"/>
        <v>1.9848270995059987E-3</v>
      </c>
    </row>
    <row r="750" spans="1:11">
      <c r="A750" s="458"/>
      <c r="B750" s="307" t="s">
        <v>662</v>
      </c>
      <c r="C750" s="301">
        <v>90</v>
      </c>
      <c r="D750" s="308">
        <v>1</v>
      </c>
      <c r="E750" s="301">
        <v>116</v>
      </c>
      <c r="F750" s="308" t="s">
        <v>654</v>
      </c>
      <c r="G750" s="303">
        <v>116</v>
      </c>
      <c r="H750" s="308">
        <v>116</v>
      </c>
      <c r="I750" s="304">
        <v>100000</v>
      </c>
      <c r="J750" s="309">
        <v>11600000</v>
      </c>
      <c r="K750" s="306">
        <f t="shared" si="3"/>
        <v>2.5582215949188428E-3</v>
      </c>
    </row>
    <row r="751" spans="1:11">
      <c r="A751" s="459"/>
      <c r="B751" s="313" t="s">
        <v>656</v>
      </c>
      <c r="C751" s="314">
        <v>104</v>
      </c>
      <c r="D751" s="315">
        <v>2421</v>
      </c>
      <c r="E751" s="314">
        <v>2620</v>
      </c>
      <c r="F751" s="315" t="s">
        <v>654</v>
      </c>
      <c r="G751" s="316">
        <v>200</v>
      </c>
      <c r="H751" s="315">
        <v>200</v>
      </c>
      <c r="I751" s="317">
        <v>100000</v>
      </c>
      <c r="J751" s="318">
        <v>20000000</v>
      </c>
      <c r="K751" s="306">
        <f t="shared" si="3"/>
        <v>4.4107268877911082E-3</v>
      </c>
    </row>
    <row r="752" spans="1:11">
      <c r="A752" s="460" t="s">
        <v>663</v>
      </c>
      <c r="B752" s="300" t="s">
        <v>664</v>
      </c>
      <c r="C752" s="310">
        <v>20</v>
      </c>
      <c r="D752" s="302">
        <v>191</v>
      </c>
      <c r="E752" s="310">
        <v>200</v>
      </c>
      <c r="F752" s="302" t="s">
        <v>654</v>
      </c>
      <c r="G752" s="311">
        <v>10</v>
      </c>
      <c r="H752" s="302">
        <v>10</v>
      </c>
      <c r="I752" s="312">
        <v>100000</v>
      </c>
      <c r="J752" s="305">
        <v>1000000</v>
      </c>
      <c r="K752" s="306">
        <f t="shared" si="3"/>
        <v>2.2053634438955541E-4</v>
      </c>
    </row>
    <row r="753" spans="1:11">
      <c r="A753" s="461"/>
      <c r="B753" s="307" t="s">
        <v>659</v>
      </c>
      <c r="C753" s="301">
        <v>58</v>
      </c>
      <c r="D753" s="308">
        <v>137</v>
      </c>
      <c r="E753" s="301">
        <v>145</v>
      </c>
      <c r="F753" s="308" t="s">
        <v>654</v>
      </c>
      <c r="G753" s="303">
        <v>9</v>
      </c>
      <c r="H753" s="308">
        <v>9</v>
      </c>
      <c r="I753" s="304">
        <v>100000</v>
      </c>
      <c r="J753" s="309">
        <v>900000</v>
      </c>
      <c r="K753" s="306">
        <f t="shared" si="3"/>
        <v>1.9848270995059987E-4</v>
      </c>
    </row>
    <row r="754" spans="1:11">
      <c r="A754" s="461"/>
      <c r="B754" s="307" t="s">
        <v>662</v>
      </c>
      <c r="C754" s="301">
        <v>91</v>
      </c>
      <c r="D754" s="308">
        <v>117</v>
      </c>
      <c r="E754" s="301">
        <v>126</v>
      </c>
      <c r="F754" s="308" t="s">
        <v>654</v>
      </c>
      <c r="G754" s="303">
        <v>10</v>
      </c>
      <c r="H754" s="308">
        <v>10</v>
      </c>
      <c r="I754" s="304">
        <v>100000</v>
      </c>
      <c r="J754" s="309">
        <v>1000000</v>
      </c>
      <c r="K754" s="306">
        <f t="shared" si="3"/>
        <v>2.2053634438955541E-4</v>
      </c>
    </row>
    <row r="755" spans="1:11">
      <c r="A755" s="462"/>
      <c r="B755" s="313" t="s">
        <v>656</v>
      </c>
      <c r="C755" s="314">
        <v>106</v>
      </c>
      <c r="D755" s="315">
        <v>2622</v>
      </c>
      <c r="E755" s="314">
        <v>2633</v>
      </c>
      <c r="F755" s="315" t="s">
        <v>654</v>
      </c>
      <c r="G755" s="316">
        <v>12</v>
      </c>
      <c r="H755" s="315">
        <v>12</v>
      </c>
      <c r="I755" s="317">
        <v>100000</v>
      </c>
      <c r="J755" s="318">
        <v>1200000</v>
      </c>
      <c r="K755" s="306">
        <f t="shared" si="3"/>
        <v>2.6464361326746649E-4</v>
      </c>
    </row>
    <row r="756" spans="1:11">
      <c r="A756" s="460" t="s">
        <v>665</v>
      </c>
      <c r="B756" s="300" t="s">
        <v>666</v>
      </c>
      <c r="C756" s="310">
        <v>15</v>
      </c>
      <c r="D756" s="302">
        <v>181</v>
      </c>
      <c r="E756" s="310">
        <v>190</v>
      </c>
      <c r="F756" s="302" t="s">
        <v>654</v>
      </c>
      <c r="G756" s="311">
        <v>10</v>
      </c>
      <c r="H756" s="302">
        <v>10</v>
      </c>
      <c r="I756" s="312">
        <v>100000</v>
      </c>
      <c r="J756" s="305">
        <v>1000000</v>
      </c>
      <c r="K756" s="306">
        <f t="shared" si="3"/>
        <v>2.2053634438955541E-4</v>
      </c>
    </row>
    <row r="757" spans="1:11">
      <c r="A757" s="461"/>
      <c r="B757" s="307" t="s">
        <v>664</v>
      </c>
      <c r="C757" s="301">
        <v>18</v>
      </c>
      <c r="D757" s="308">
        <v>1</v>
      </c>
      <c r="E757" s="301">
        <v>100</v>
      </c>
      <c r="F757" s="308" t="s">
        <v>654</v>
      </c>
      <c r="G757" s="303">
        <v>100</v>
      </c>
      <c r="H757" s="308">
        <v>100</v>
      </c>
      <c r="I757" s="304">
        <v>100000</v>
      </c>
      <c r="J757" s="309">
        <v>10000000</v>
      </c>
      <c r="K757" s="306">
        <f t="shared" si="3"/>
        <v>2.2053634438955541E-3</v>
      </c>
    </row>
    <row r="758" spans="1:11">
      <c r="A758" s="461"/>
      <c r="B758" s="307" t="s">
        <v>659</v>
      </c>
      <c r="C758" s="301">
        <v>59</v>
      </c>
      <c r="D758" s="308">
        <v>146</v>
      </c>
      <c r="E758" s="301">
        <v>200</v>
      </c>
      <c r="F758" s="308" t="s">
        <v>654</v>
      </c>
      <c r="G758" s="303">
        <v>55</v>
      </c>
      <c r="H758" s="308">
        <v>55</v>
      </c>
      <c r="I758" s="304">
        <v>100000</v>
      </c>
      <c r="J758" s="309">
        <v>5500000</v>
      </c>
      <c r="K758" s="306">
        <f t="shared" si="3"/>
        <v>1.2129498941425548E-3</v>
      </c>
    </row>
    <row r="759" spans="1:11">
      <c r="A759" s="461"/>
      <c r="B759" s="307" t="s">
        <v>667</v>
      </c>
      <c r="C759" s="301">
        <v>60</v>
      </c>
      <c r="D759" s="308">
        <v>1</v>
      </c>
      <c r="E759" s="301">
        <v>62</v>
      </c>
      <c r="F759" s="308" t="s">
        <v>654</v>
      </c>
      <c r="G759" s="303">
        <v>62</v>
      </c>
      <c r="H759" s="308">
        <v>62</v>
      </c>
      <c r="I759" s="304">
        <v>100000</v>
      </c>
      <c r="J759" s="309">
        <v>6200000</v>
      </c>
      <c r="K759" s="306">
        <f t="shared" si="3"/>
        <v>1.3673253352152435E-3</v>
      </c>
    </row>
    <row r="760" spans="1:11">
      <c r="A760" s="461"/>
      <c r="B760" s="307" t="s">
        <v>668</v>
      </c>
      <c r="C760" s="301">
        <v>74</v>
      </c>
      <c r="D760" s="308">
        <v>164</v>
      </c>
      <c r="E760" s="301">
        <v>200</v>
      </c>
      <c r="F760" s="308" t="s">
        <v>654</v>
      </c>
      <c r="G760" s="303">
        <v>37</v>
      </c>
      <c r="H760" s="308">
        <v>37</v>
      </c>
      <c r="I760" s="304">
        <v>100000</v>
      </c>
      <c r="J760" s="309">
        <v>3700000</v>
      </c>
      <c r="K760" s="306">
        <f t="shared" si="3"/>
        <v>8.1598447424135502E-4</v>
      </c>
    </row>
    <row r="761" spans="1:11">
      <c r="A761" s="461"/>
      <c r="B761" s="307" t="s">
        <v>669</v>
      </c>
      <c r="C761" s="301">
        <v>75</v>
      </c>
      <c r="D761" s="308">
        <v>1</v>
      </c>
      <c r="E761" s="301">
        <v>9</v>
      </c>
      <c r="F761" s="308" t="s">
        <v>654</v>
      </c>
      <c r="G761" s="303">
        <v>9</v>
      </c>
      <c r="H761" s="308">
        <v>9</v>
      </c>
      <c r="I761" s="304">
        <v>100000</v>
      </c>
      <c r="J761" s="309">
        <v>900000</v>
      </c>
      <c r="K761" s="306">
        <f t="shared" si="3"/>
        <v>1.9848270995059987E-4</v>
      </c>
    </row>
    <row r="762" spans="1:11">
      <c r="A762" s="461"/>
      <c r="B762" s="307" t="s">
        <v>662</v>
      </c>
      <c r="C762" s="301">
        <v>92</v>
      </c>
      <c r="D762" s="308">
        <v>127</v>
      </c>
      <c r="E762" s="301">
        <v>145</v>
      </c>
      <c r="F762" s="308" t="s">
        <v>654</v>
      </c>
      <c r="G762" s="303">
        <v>19</v>
      </c>
      <c r="H762" s="308">
        <v>19</v>
      </c>
      <c r="I762" s="304">
        <v>100000</v>
      </c>
      <c r="J762" s="309">
        <v>1900000</v>
      </c>
      <c r="K762" s="306">
        <f t="shared" si="3"/>
        <v>4.1901905434015528E-4</v>
      </c>
    </row>
    <row r="763" spans="1:11">
      <c r="A763" s="461"/>
      <c r="B763" s="307" t="s">
        <v>670</v>
      </c>
      <c r="C763" s="301">
        <v>95</v>
      </c>
      <c r="D763" s="308">
        <v>1</v>
      </c>
      <c r="E763" s="301">
        <v>33</v>
      </c>
      <c r="F763" s="308" t="s">
        <v>654</v>
      </c>
      <c r="G763" s="303">
        <v>33</v>
      </c>
      <c r="H763" s="308">
        <v>33</v>
      </c>
      <c r="I763" s="304">
        <v>100000</v>
      </c>
      <c r="J763" s="309">
        <v>3300000</v>
      </c>
      <c r="K763" s="306">
        <f t="shared" si="3"/>
        <v>7.2776993648553286E-4</v>
      </c>
    </row>
    <row r="764" spans="1:11">
      <c r="A764" s="462"/>
      <c r="B764" s="313" t="s">
        <v>656</v>
      </c>
      <c r="C764" s="314">
        <v>107</v>
      </c>
      <c r="D764" s="315">
        <v>2634</v>
      </c>
      <c r="E764" s="314">
        <v>2761</v>
      </c>
      <c r="F764" s="315" t="s">
        <v>654</v>
      </c>
      <c r="G764" s="316">
        <v>128</v>
      </c>
      <c r="H764" s="315">
        <v>128</v>
      </c>
      <c r="I764" s="317">
        <v>100000</v>
      </c>
      <c r="J764" s="318">
        <v>12800000</v>
      </c>
      <c r="K764" s="306">
        <f t="shared" si="3"/>
        <v>2.8228652081863093E-3</v>
      </c>
    </row>
    <row r="765" spans="1:11">
      <c r="A765" s="461" t="s">
        <v>671</v>
      </c>
      <c r="B765" s="307" t="s">
        <v>653</v>
      </c>
      <c r="C765" s="301">
        <v>7</v>
      </c>
      <c r="D765" s="308">
        <v>166</v>
      </c>
      <c r="E765" s="301">
        <v>180</v>
      </c>
      <c r="F765" s="308" t="s">
        <v>654</v>
      </c>
      <c r="G765" s="303">
        <v>15</v>
      </c>
      <c r="H765" s="308">
        <v>15</v>
      </c>
      <c r="I765" s="304">
        <v>100000</v>
      </c>
      <c r="J765" s="309">
        <v>1500000</v>
      </c>
      <c r="K765" s="306">
        <f t="shared" si="3"/>
        <v>3.3080451658433312E-4</v>
      </c>
    </row>
    <row r="766" spans="1:11">
      <c r="A766" s="461"/>
      <c r="B766" s="307" t="s">
        <v>666</v>
      </c>
      <c r="C766" s="301">
        <v>17</v>
      </c>
      <c r="D766" s="308">
        <v>200</v>
      </c>
      <c r="E766" s="301">
        <v>200</v>
      </c>
      <c r="F766" s="308" t="s">
        <v>654</v>
      </c>
      <c r="G766" s="303">
        <v>1</v>
      </c>
      <c r="H766" s="308">
        <v>1</v>
      </c>
      <c r="I766" s="304">
        <v>100000</v>
      </c>
      <c r="J766" s="309">
        <v>100000</v>
      </c>
      <c r="K766" s="306">
        <f t="shared" si="3"/>
        <v>2.2053634438955541E-5</v>
      </c>
    </row>
    <row r="767" spans="1:11">
      <c r="A767" s="461"/>
      <c r="B767" s="307" t="s">
        <v>669</v>
      </c>
      <c r="C767" s="301">
        <v>78</v>
      </c>
      <c r="D767" s="308">
        <v>184</v>
      </c>
      <c r="E767" s="301">
        <v>200</v>
      </c>
      <c r="F767" s="308" t="s">
        <v>654</v>
      </c>
      <c r="G767" s="303">
        <v>17</v>
      </c>
      <c r="H767" s="308">
        <v>17</v>
      </c>
      <c r="I767" s="304">
        <v>100000</v>
      </c>
      <c r="J767" s="309">
        <v>1700000</v>
      </c>
      <c r="K767" s="306">
        <f t="shared" si="3"/>
        <v>3.749117854622442E-4</v>
      </c>
    </row>
    <row r="768" spans="1:11">
      <c r="A768" s="461"/>
      <c r="B768" s="307" t="s">
        <v>672</v>
      </c>
      <c r="C768" s="301">
        <v>80</v>
      </c>
      <c r="D768" s="308">
        <v>193</v>
      </c>
      <c r="E768" s="301">
        <v>200</v>
      </c>
      <c r="F768" s="308" t="s">
        <v>654</v>
      </c>
      <c r="G768" s="303">
        <v>8</v>
      </c>
      <c r="H768" s="308">
        <v>8</v>
      </c>
      <c r="I768" s="304">
        <v>100000</v>
      </c>
      <c r="J768" s="309">
        <v>800000</v>
      </c>
      <c r="K768" s="306">
        <f t="shared" si="3"/>
        <v>1.7642907551164433E-4</v>
      </c>
    </row>
    <row r="769" spans="1:11">
      <c r="A769" s="461"/>
      <c r="B769" s="307" t="s">
        <v>673</v>
      </c>
      <c r="C769" s="301">
        <v>81</v>
      </c>
      <c r="D769" s="308">
        <v>1</v>
      </c>
      <c r="E769" s="301">
        <v>6</v>
      </c>
      <c r="F769" s="308" t="s">
        <v>654</v>
      </c>
      <c r="G769" s="303">
        <v>6</v>
      </c>
      <c r="H769" s="308">
        <v>6</v>
      </c>
      <c r="I769" s="304">
        <v>100000</v>
      </c>
      <c r="J769" s="309">
        <v>600000</v>
      </c>
      <c r="K769" s="306">
        <f t="shared" si="3"/>
        <v>1.3232180663373325E-4</v>
      </c>
    </row>
    <row r="770" spans="1:11">
      <c r="A770" s="461"/>
      <c r="B770" s="307" t="s">
        <v>656</v>
      </c>
      <c r="C770" s="301">
        <v>105</v>
      </c>
      <c r="D770" s="308">
        <v>2621</v>
      </c>
      <c r="E770" s="301">
        <v>2621</v>
      </c>
      <c r="F770" s="308" t="s">
        <v>654</v>
      </c>
      <c r="G770" s="303">
        <v>1</v>
      </c>
      <c r="H770" s="308">
        <v>1</v>
      </c>
      <c r="I770" s="304">
        <v>100000</v>
      </c>
      <c r="J770" s="309">
        <v>100000</v>
      </c>
      <c r="K770" s="306">
        <f t="shared" si="3"/>
        <v>2.2053634438955541E-5</v>
      </c>
    </row>
    <row r="771" spans="1:11">
      <c r="A771" s="461"/>
      <c r="B771" s="307" t="s">
        <v>656</v>
      </c>
      <c r="C771" s="301">
        <v>108</v>
      </c>
      <c r="D771" s="308">
        <v>2762</v>
      </c>
      <c r="E771" s="301">
        <v>2762</v>
      </c>
      <c r="F771" s="308" t="s">
        <v>654</v>
      </c>
      <c r="G771" s="303">
        <v>1</v>
      </c>
      <c r="H771" s="308">
        <v>1</v>
      </c>
      <c r="I771" s="304">
        <v>100000</v>
      </c>
      <c r="J771" s="309">
        <v>100000</v>
      </c>
      <c r="K771" s="306">
        <f t="shared" si="3"/>
        <v>2.2053634438955541E-5</v>
      </c>
    </row>
    <row r="772" spans="1:11">
      <c r="A772" s="461"/>
      <c r="B772" s="307" t="s">
        <v>674</v>
      </c>
      <c r="C772" s="301">
        <v>111</v>
      </c>
      <c r="D772" s="308">
        <v>171</v>
      </c>
      <c r="E772" s="301">
        <v>188</v>
      </c>
      <c r="F772" s="308" t="s">
        <v>654</v>
      </c>
      <c r="G772" s="303">
        <v>18</v>
      </c>
      <c r="H772" s="308">
        <v>18</v>
      </c>
      <c r="I772" s="304">
        <v>100000</v>
      </c>
      <c r="J772" s="309">
        <v>1800000</v>
      </c>
      <c r="K772" s="306">
        <f t="shared" si="3"/>
        <v>3.9696541990119974E-4</v>
      </c>
    </row>
    <row r="773" spans="1:11">
      <c r="A773" s="460" t="s">
        <v>675</v>
      </c>
      <c r="B773" s="300" t="s">
        <v>653</v>
      </c>
      <c r="C773" s="310">
        <v>9</v>
      </c>
      <c r="D773" s="302">
        <v>196</v>
      </c>
      <c r="E773" s="310">
        <v>197</v>
      </c>
      <c r="F773" s="302" t="s">
        <v>654</v>
      </c>
      <c r="G773" s="311">
        <v>2</v>
      </c>
      <c r="H773" s="319">
        <v>2</v>
      </c>
      <c r="I773" s="312">
        <v>100000</v>
      </c>
      <c r="J773" s="305">
        <v>200000</v>
      </c>
      <c r="K773" s="306">
        <f t="shared" si="3"/>
        <v>4.4107268877911082E-5</v>
      </c>
    </row>
    <row r="774" spans="1:11">
      <c r="A774" s="461"/>
      <c r="B774" s="307" t="s">
        <v>676</v>
      </c>
      <c r="C774" s="301">
        <v>25</v>
      </c>
      <c r="D774" s="308">
        <v>51</v>
      </c>
      <c r="E774" s="301">
        <v>191</v>
      </c>
      <c r="F774" s="308" t="s">
        <v>654</v>
      </c>
      <c r="G774" s="303">
        <v>141</v>
      </c>
      <c r="H774" s="320">
        <v>141</v>
      </c>
      <c r="I774" s="304">
        <v>100000</v>
      </c>
      <c r="J774" s="309">
        <v>14100000</v>
      </c>
      <c r="K774" s="306">
        <f t="shared" si="3"/>
        <v>3.1095624558927313E-3</v>
      </c>
    </row>
    <row r="775" spans="1:11">
      <c r="A775" s="461"/>
      <c r="B775" s="307" t="s">
        <v>667</v>
      </c>
      <c r="C775" s="301">
        <v>63</v>
      </c>
      <c r="D775" s="308">
        <v>176</v>
      </c>
      <c r="E775" s="301">
        <v>200</v>
      </c>
      <c r="F775" s="308" t="s">
        <v>654</v>
      </c>
      <c r="G775" s="303">
        <v>25</v>
      </c>
      <c r="H775" s="320">
        <v>25</v>
      </c>
      <c r="I775" s="304">
        <v>100000</v>
      </c>
      <c r="J775" s="309">
        <v>2500000</v>
      </c>
      <c r="K775" s="306">
        <f t="shared" si="3"/>
        <v>5.5134086097388853E-4</v>
      </c>
    </row>
    <row r="776" spans="1:11">
      <c r="A776" s="461"/>
      <c r="B776" s="307" t="s">
        <v>677</v>
      </c>
      <c r="C776" s="301">
        <v>68</v>
      </c>
      <c r="D776" s="308">
        <v>54</v>
      </c>
      <c r="E776" s="301">
        <v>170</v>
      </c>
      <c r="F776" s="308" t="s">
        <v>654</v>
      </c>
      <c r="G776" s="303">
        <v>117</v>
      </c>
      <c r="H776" s="320">
        <v>117</v>
      </c>
      <c r="I776" s="304">
        <v>100000</v>
      </c>
      <c r="J776" s="309">
        <v>11700000</v>
      </c>
      <c r="K776" s="306">
        <f t="shared" si="3"/>
        <v>2.5802752293577983E-3</v>
      </c>
    </row>
    <row r="777" spans="1:11">
      <c r="A777" s="461"/>
      <c r="B777" s="307" t="s">
        <v>670</v>
      </c>
      <c r="C777" s="301">
        <v>96</v>
      </c>
      <c r="D777" s="308">
        <v>34</v>
      </c>
      <c r="E777" s="301">
        <v>173</v>
      </c>
      <c r="F777" s="308" t="s">
        <v>654</v>
      </c>
      <c r="G777" s="303">
        <v>140</v>
      </c>
      <c r="H777" s="320">
        <v>140</v>
      </c>
      <c r="I777" s="304">
        <v>100000</v>
      </c>
      <c r="J777" s="309">
        <v>14000000</v>
      </c>
      <c r="K777" s="306">
        <f t="shared" si="3"/>
        <v>3.0875088214537758E-3</v>
      </c>
    </row>
    <row r="778" spans="1:11">
      <c r="A778" s="462"/>
      <c r="B778" s="313" t="s">
        <v>674</v>
      </c>
      <c r="C778" s="314">
        <v>112</v>
      </c>
      <c r="D778" s="315">
        <v>189</v>
      </c>
      <c r="E778" s="314">
        <v>473</v>
      </c>
      <c r="F778" s="315" t="s">
        <v>654</v>
      </c>
      <c r="G778" s="316">
        <v>285</v>
      </c>
      <c r="H778" s="321">
        <v>285</v>
      </c>
      <c r="I778" s="317">
        <v>100000</v>
      </c>
      <c r="J778" s="318">
        <v>28500000</v>
      </c>
      <c r="K778" s="306">
        <f t="shared" si="3"/>
        <v>6.2852858151023292E-3</v>
      </c>
    </row>
    <row r="779" spans="1:11">
      <c r="A779" s="461" t="s">
        <v>678</v>
      </c>
      <c r="B779" s="307" t="s">
        <v>679</v>
      </c>
      <c r="C779" s="301">
        <v>23</v>
      </c>
      <c r="D779" s="308">
        <v>171</v>
      </c>
      <c r="E779" s="301">
        <v>200</v>
      </c>
      <c r="F779" s="308" t="s">
        <v>654</v>
      </c>
      <c r="G779" s="303">
        <v>30</v>
      </c>
      <c r="H779" s="308">
        <v>30</v>
      </c>
      <c r="I779" s="304">
        <v>100000</v>
      </c>
      <c r="J779" s="309">
        <v>3000000</v>
      </c>
      <c r="K779" s="306">
        <f t="shared" si="3"/>
        <v>6.6160903316866623E-4</v>
      </c>
    </row>
    <row r="780" spans="1:11">
      <c r="A780" s="461"/>
      <c r="B780" s="307" t="s">
        <v>667</v>
      </c>
      <c r="C780" s="301">
        <v>62</v>
      </c>
      <c r="D780" s="308">
        <v>147</v>
      </c>
      <c r="E780" s="301">
        <v>175</v>
      </c>
      <c r="F780" s="308" t="s">
        <v>654</v>
      </c>
      <c r="G780" s="303">
        <v>29</v>
      </c>
      <c r="H780" s="308">
        <v>29</v>
      </c>
      <c r="I780" s="304">
        <v>100000</v>
      </c>
      <c r="J780" s="309">
        <v>2900000</v>
      </c>
      <c r="K780" s="306">
        <f t="shared" si="3"/>
        <v>6.3955539872971069E-4</v>
      </c>
    </row>
    <row r="781" spans="1:11">
      <c r="A781" s="461"/>
      <c r="B781" s="307" t="s">
        <v>662</v>
      </c>
      <c r="C781" s="301">
        <v>93</v>
      </c>
      <c r="D781" s="308">
        <v>146</v>
      </c>
      <c r="E781" s="301">
        <v>174</v>
      </c>
      <c r="F781" s="308" t="s">
        <v>654</v>
      </c>
      <c r="G781" s="303">
        <v>29</v>
      </c>
      <c r="H781" s="308">
        <v>29</v>
      </c>
      <c r="I781" s="304">
        <v>100000</v>
      </c>
      <c r="J781" s="309">
        <v>2900000</v>
      </c>
      <c r="K781" s="306">
        <f t="shared" si="3"/>
        <v>6.3955539872971069E-4</v>
      </c>
    </row>
    <row r="782" spans="1:11">
      <c r="A782" s="462"/>
      <c r="B782" s="313" t="s">
        <v>674</v>
      </c>
      <c r="C782" s="314">
        <v>113</v>
      </c>
      <c r="D782" s="315">
        <v>474</v>
      </c>
      <c r="E782" s="314">
        <v>508</v>
      </c>
      <c r="F782" s="315" t="s">
        <v>654</v>
      </c>
      <c r="G782" s="316">
        <v>35</v>
      </c>
      <c r="H782" s="315">
        <v>35</v>
      </c>
      <c r="I782" s="317">
        <v>100000</v>
      </c>
      <c r="J782" s="309">
        <v>3500000</v>
      </c>
      <c r="K782" s="306">
        <f t="shared" si="3"/>
        <v>7.7187720536344394E-4</v>
      </c>
    </row>
    <row r="783" spans="1:11">
      <c r="A783" s="460" t="s">
        <v>680</v>
      </c>
      <c r="B783" s="300" t="s">
        <v>666</v>
      </c>
      <c r="C783" s="310">
        <v>13</v>
      </c>
      <c r="D783" s="302">
        <v>101</v>
      </c>
      <c r="E783" s="310">
        <v>150</v>
      </c>
      <c r="F783" s="302" t="s">
        <v>654</v>
      </c>
      <c r="G783" s="311">
        <v>50</v>
      </c>
      <c r="H783" s="302">
        <v>50</v>
      </c>
      <c r="I783" s="312">
        <v>100000</v>
      </c>
      <c r="J783" s="305">
        <v>5000000</v>
      </c>
      <c r="K783" s="306">
        <f t="shared" si="3"/>
        <v>1.1026817219477771E-3</v>
      </c>
    </row>
    <row r="784" spans="1:11">
      <c r="A784" s="461"/>
      <c r="B784" s="307" t="s">
        <v>679</v>
      </c>
      <c r="C784" s="301">
        <v>21</v>
      </c>
      <c r="D784" s="308">
        <v>1</v>
      </c>
      <c r="E784" s="301">
        <v>100</v>
      </c>
      <c r="F784" s="308" t="s">
        <v>654</v>
      </c>
      <c r="G784" s="303">
        <v>100</v>
      </c>
      <c r="H784" s="308">
        <v>100</v>
      </c>
      <c r="I784" s="304">
        <v>100000</v>
      </c>
      <c r="J784" s="309">
        <v>10000000</v>
      </c>
      <c r="K784" s="306">
        <f t="shared" si="3"/>
        <v>2.2053634438955541E-3</v>
      </c>
    </row>
    <row r="785" spans="1:11">
      <c r="A785" s="461"/>
      <c r="B785" s="307" t="s">
        <v>667</v>
      </c>
      <c r="C785" s="301">
        <v>61</v>
      </c>
      <c r="D785" s="308">
        <v>63</v>
      </c>
      <c r="E785" s="301">
        <v>146</v>
      </c>
      <c r="F785" s="308" t="s">
        <v>654</v>
      </c>
      <c r="G785" s="303">
        <v>84</v>
      </c>
      <c r="H785" s="308">
        <v>84</v>
      </c>
      <c r="I785" s="304">
        <v>100000</v>
      </c>
      <c r="J785" s="309">
        <v>8400000</v>
      </c>
      <c r="K785" s="306">
        <f t="shared" si="3"/>
        <v>1.8525052928722655E-3</v>
      </c>
    </row>
    <row r="786" spans="1:11">
      <c r="A786" s="461"/>
      <c r="B786" s="307" t="s">
        <v>681</v>
      </c>
      <c r="C786" s="301">
        <v>64</v>
      </c>
      <c r="D786" s="308">
        <v>1</v>
      </c>
      <c r="E786" s="301">
        <v>63</v>
      </c>
      <c r="F786" s="308" t="s">
        <v>654</v>
      </c>
      <c r="G786" s="303">
        <v>63</v>
      </c>
      <c r="H786" s="308">
        <v>63</v>
      </c>
      <c r="I786" s="304">
        <v>100000</v>
      </c>
      <c r="J786" s="309">
        <v>6300000</v>
      </c>
      <c r="K786" s="306">
        <f t="shared" si="3"/>
        <v>1.3893789696541991E-3</v>
      </c>
    </row>
    <row r="787" spans="1:11">
      <c r="A787" s="461"/>
      <c r="B787" s="307" t="s">
        <v>660</v>
      </c>
      <c r="C787" s="301">
        <v>67</v>
      </c>
      <c r="D787" s="308">
        <v>51</v>
      </c>
      <c r="E787" s="301">
        <v>53</v>
      </c>
      <c r="F787" s="308" t="s">
        <v>654</v>
      </c>
      <c r="G787" s="303">
        <v>3</v>
      </c>
      <c r="H787" s="308">
        <v>3</v>
      </c>
      <c r="I787" s="304">
        <v>100000</v>
      </c>
      <c r="J787" s="309">
        <v>300000</v>
      </c>
      <c r="K787" s="306">
        <f t="shared" si="3"/>
        <v>6.6160903316866623E-5</v>
      </c>
    </row>
    <row r="788" spans="1:11">
      <c r="A788" s="461"/>
      <c r="B788" s="307" t="s">
        <v>669</v>
      </c>
      <c r="C788" s="301">
        <v>76</v>
      </c>
      <c r="D788" s="308">
        <v>10</v>
      </c>
      <c r="E788" s="301">
        <v>100</v>
      </c>
      <c r="F788" s="308" t="s">
        <v>654</v>
      </c>
      <c r="G788" s="303">
        <v>91</v>
      </c>
      <c r="H788" s="308">
        <v>91</v>
      </c>
      <c r="I788" s="304">
        <v>100000</v>
      </c>
      <c r="J788" s="309">
        <v>9100000</v>
      </c>
      <c r="K788" s="306">
        <f t="shared" si="3"/>
        <v>2.0068807339449542E-3</v>
      </c>
    </row>
    <row r="789" spans="1:11">
      <c r="A789" s="461"/>
      <c r="B789" s="307" t="s">
        <v>662</v>
      </c>
      <c r="C789" s="301">
        <v>94</v>
      </c>
      <c r="D789" s="308">
        <v>175</v>
      </c>
      <c r="E789" s="301">
        <v>200</v>
      </c>
      <c r="F789" s="308" t="s">
        <v>654</v>
      </c>
      <c r="G789" s="303">
        <v>26</v>
      </c>
      <c r="H789" s="308">
        <v>26</v>
      </c>
      <c r="I789" s="304">
        <v>100000</v>
      </c>
      <c r="J789" s="309">
        <v>2600000</v>
      </c>
      <c r="K789" s="306">
        <f t="shared" si="3"/>
        <v>5.7339449541284407E-4</v>
      </c>
    </row>
    <row r="790" spans="1:11">
      <c r="A790" s="461"/>
      <c r="B790" s="307" t="s">
        <v>670</v>
      </c>
      <c r="C790" s="301">
        <v>97</v>
      </c>
      <c r="D790" s="308">
        <v>174</v>
      </c>
      <c r="E790" s="301">
        <v>200</v>
      </c>
      <c r="F790" s="308" t="s">
        <v>654</v>
      </c>
      <c r="G790" s="303">
        <v>27</v>
      </c>
      <c r="H790" s="308">
        <v>27</v>
      </c>
      <c r="I790" s="304">
        <v>100000</v>
      </c>
      <c r="J790" s="309">
        <v>2700000</v>
      </c>
      <c r="K790" s="306">
        <f t="shared" si="3"/>
        <v>5.9544812985179961E-4</v>
      </c>
    </row>
    <row r="791" spans="1:11">
      <c r="A791" s="462"/>
      <c r="B791" s="313" t="s">
        <v>674</v>
      </c>
      <c r="C791" s="314">
        <v>114</v>
      </c>
      <c r="D791" s="315">
        <v>509</v>
      </c>
      <c r="E791" s="314">
        <v>682</v>
      </c>
      <c r="F791" s="315" t="s">
        <v>654</v>
      </c>
      <c r="G791" s="316">
        <v>174</v>
      </c>
      <c r="H791" s="315">
        <v>174</v>
      </c>
      <c r="I791" s="317">
        <v>100000</v>
      </c>
      <c r="J791" s="318">
        <v>17400000</v>
      </c>
      <c r="K791" s="306">
        <f t="shared" si="3"/>
        <v>3.8373323923782642E-3</v>
      </c>
    </row>
    <row r="792" spans="1:11">
      <c r="A792" s="460" t="s">
        <v>682</v>
      </c>
      <c r="B792" s="322" t="s">
        <v>653</v>
      </c>
      <c r="C792" s="310">
        <v>10</v>
      </c>
      <c r="D792" s="302">
        <v>198</v>
      </c>
      <c r="E792" s="310">
        <v>199</v>
      </c>
      <c r="F792" s="302" t="s">
        <v>654</v>
      </c>
      <c r="G792" s="311">
        <v>2</v>
      </c>
      <c r="H792" s="302">
        <v>2</v>
      </c>
      <c r="I792" s="312">
        <v>100000</v>
      </c>
      <c r="J792" s="309">
        <v>200000</v>
      </c>
      <c r="K792" s="306">
        <f t="shared" si="3"/>
        <v>4.4107268877911082E-5</v>
      </c>
    </row>
    <row r="793" spans="1:11">
      <c r="A793" s="461"/>
      <c r="B793" s="323" t="s">
        <v>676</v>
      </c>
      <c r="C793" s="301">
        <v>26</v>
      </c>
      <c r="D793" s="308">
        <v>192</v>
      </c>
      <c r="E793" s="301">
        <v>200</v>
      </c>
      <c r="F793" s="308" t="s">
        <v>654</v>
      </c>
      <c r="G793" s="303">
        <v>9</v>
      </c>
      <c r="H793" s="308">
        <v>9</v>
      </c>
      <c r="I793" s="304">
        <v>100000</v>
      </c>
      <c r="J793" s="309">
        <v>900000</v>
      </c>
      <c r="K793" s="306">
        <f t="shared" si="3"/>
        <v>1.9848270995059987E-4</v>
      </c>
    </row>
    <row r="794" spans="1:11">
      <c r="A794" s="461"/>
      <c r="B794" s="323" t="s">
        <v>683</v>
      </c>
      <c r="C794" s="301">
        <v>27</v>
      </c>
      <c r="D794" s="308">
        <v>1</v>
      </c>
      <c r="E794" s="301">
        <v>132</v>
      </c>
      <c r="F794" s="308" t="s">
        <v>654</v>
      </c>
      <c r="G794" s="303">
        <v>132</v>
      </c>
      <c r="H794" s="308">
        <v>132</v>
      </c>
      <c r="I794" s="304">
        <v>100000</v>
      </c>
      <c r="J794" s="309">
        <v>13200000</v>
      </c>
      <c r="K794" s="306">
        <f t="shared" si="3"/>
        <v>2.9110797459421314E-3</v>
      </c>
    </row>
    <row r="795" spans="1:11">
      <c r="A795" s="461"/>
      <c r="B795" s="324" t="s">
        <v>681</v>
      </c>
      <c r="C795" s="301">
        <v>65</v>
      </c>
      <c r="D795" s="308">
        <v>64</v>
      </c>
      <c r="E795" s="301">
        <v>200</v>
      </c>
      <c r="F795" s="308" t="s">
        <v>654</v>
      </c>
      <c r="G795" s="303">
        <v>137</v>
      </c>
      <c r="H795" s="308">
        <v>137</v>
      </c>
      <c r="I795" s="304">
        <v>100000</v>
      </c>
      <c r="J795" s="309">
        <v>13700000</v>
      </c>
      <c r="K795" s="306">
        <f t="shared" si="3"/>
        <v>3.0213479181369091E-3</v>
      </c>
    </row>
    <row r="796" spans="1:11">
      <c r="A796" s="461"/>
      <c r="B796" s="324" t="s">
        <v>660</v>
      </c>
      <c r="C796" s="301">
        <v>69</v>
      </c>
      <c r="D796" s="308">
        <v>171</v>
      </c>
      <c r="E796" s="301">
        <v>173</v>
      </c>
      <c r="F796" s="308" t="s">
        <v>654</v>
      </c>
      <c r="G796" s="303">
        <v>3</v>
      </c>
      <c r="H796" s="308">
        <v>3</v>
      </c>
      <c r="I796" s="304">
        <v>100000</v>
      </c>
      <c r="J796" s="309">
        <v>300000</v>
      </c>
      <c r="K796" s="306">
        <f t="shared" si="3"/>
        <v>6.6160903316866623E-5</v>
      </c>
    </row>
    <row r="797" spans="1:11">
      <c r="A797" s="461"/>
      <c r="B797" s="324" t="s">
        <v>669</v>
      </c>
      <c r="C797" s="301">
        <v>77</v>
      </c>
      <c r="D797" s="308">
        <v>101</v>
      </c>
      <c r="E797" s="301">
        <v>183</v>
      </c>
      <c r="F797" s="308" t="s">
        <v>654</v>
      </c>
      <c r="G797" s="303">
        <v>83</v>
      </c>
      <c r="H797" s="308">
        <v>83</v>
      </c>
      <c r="I797" s="304">
        <v>100000</v>
      </c>
      <c r="J797" s="309">
        <v>8300000</v>
      </c>
      <c r="K797" s="306">
        <f t="shared" si="3"/>
        <v>1.8304516584333099E-3</v>
      </c>
    </row>
    <row r="798" spans="1:11">
      <c r="A798" s="461"/>
      <c r="B798" s="324" t="s">
        <v>661</v>
      </c>
      <c r="C798" s="301">
        <v>89</v>
      </c>
      <c r="D798" s="308">
        <v>144</v>
      </c>
      <c r="E798" s="301">
        <v>200</v>
      </c>
      <c r="F798" s="308" t="s">
        <v>654</v>
      </c>
      <c r="G798" s="303">
        <v>57</v>
      </c>
      <c r="H798" s="308">
        <v>57</v>
      </c>
      <c r="I798" s="304">
        <v>100000</v>
      </c>
      <c r="J798" s="309">
        <v>5700000</v>
      </c>
      <c r="K798" s="306">
        <f t="shared" si="3"/>
        <v>1.2570571630204658E-3</v>
      </c>
    </row>
    <row r="799" spans="1:11">
      <c r="A799" s="462"/>
      <c r="B799" s="325" t="s">
        <v>674</v>
      </c>
      <c r="C799" s="314">
        <v>115</v>
      </c>
      <c r="D799" s="315">
        <v>683</v>
      </c>
      <c r="E799" s="314">
        <v>848</v>
      </c>
      <c r="F799" s="315" t="s">
        <v>654</v>
      </c>
      <c r="G799" s="316">
        <v>166</v>
      </c>
      <c r="H799" s="315">
        <v>166</v>
      </c>
      <c r="I799" s="317">
        <v>100000</v>
      </c>
      <c r="J799" s="309">
        <v>16600000</v>
      </c>
      <c r="K799" s="306">
        <f t="shared" si="3"/>
        <v>3.6609033168666198E-3</v>
      </c>
    </row>
    <row r="800" spans="1:11">
      <c r="A800" s="456" t="s">
        <v>684</v>
      </c>
      <c r="B800" s="307" t="s">
        <v>685</v>
      </c>
      <c r="C800" s="301">
        <v>1</v>
      </c>
      <c r="D800" s="308">
        <v>1</v>
      </c>
      <c r="E800" s="301">
        <v>100</v>
      </c>
      <c r="F800" s="308" t="s">
        <v>654</v>
      </c>
      <c r="G800" s="303">
        <v>100</v>
      </c>
      <c r="H800" s="308">
        <v>100</v>
      </c>
      <c r="I800" s="304">
        <v>100000</v>
      </c>
      <c r="J800" s="305">
        <v>10000000</v>
      </c>
      <c r="K800" s="306">
        <f t="shared" si="3"/>
        <v>2.2053634438955541E-3</v>
      </c>
    </row>
    <row r="801" spans="1:11">
      <c r="A801" s="456"/>
      <c r="B801" s="307" t="s">
        <v>653</v>
      </c>
      <c r="C801" s="301">
        <v>3</v>
      </c>
      <c r="D801" s="308">
        <v>1</v>
      </c>
      <c r="E801" s="301">
        <v>50</v>
      </c>
      <c r="F801" s="308" t="s">
        <v>654</v>
      </c>
      <c r="G801" s="303">
        <v>50</v>
      </c>
      <c r="H801" s="308">
        <v>50</v>
      </c>
      <c r="I801" s="304">
        <v>100000</v>
      </c>
      <c r="J801" s="309">
        <v>5000000</v>
      </c>
      <c r="K801" s="306">
        <f t="shared" si="3"/>
        <v>1.1026817219477771E-3</v>
      </c>
    </row>
    <row r="802" spans="1:11">
      <c r="A802" s="456"/>
      <c r="B802" s="307" t="s">
        <v>660</v>
      </c>
      <c r="C802" s="301">
        <v>66</v>
      </c>
      <c r="D802" s="308">
        <v>1</v>
      </c>
      <c r="E802" s="301">
        <v>50</v>
      </c>
      <c r="F802" s="308" t="s">
        <v>654</v>
      </c>
      <c r="G802" s="303">
        <v>50</v>
      </c>
      <c r="H802" s="308">
        <v>50</v>
      </c>
      <c r="I802" s="304">
        <v>100000</v>
      </c>
      <c r="J802" s="309">
        <v>5000000</v>
      </c>
      <c r="K802" s="306">
        <f t="shared" si="3"/>
        <v>1.1026817219477771E-3</v>
      </c>
    </row>
    <row r="803" spans="1:11">
      <c r="A803" s="456"/>
      <c r="B803" s="324" t="s">
        <v>660</v>
      </c>
      <c r="C803" s="301">
        <v>70</v>
      </c>
      <c r="D803" s="308">
        <v>174</v>
      </c>
      <c r="E803" s="301">
        <v>199</v>
      </c>
      <c r="F803" s="308" t="s">
        <v>654</v>
      </c>
      <c r="G803" s="303">
        <v>26</v>
      </c>
      <c r="H803" s="308">
        <v>26</v>
      </c>
      <c r="I803" s="304">
        <v>100000</v>
      </c>
      <c r="J803" s="309">
        <v>2600000</v>
      </c>
      <c r="K803" s="306">
        <f t="shared" si="3"/>
        <v>5.7339449541284407E-4</v>
      </c>
    </row>
    <row r="804" spans="1:11">
      <c r="A804" s="456"/>
      <c r="B804" s="324" t="s">
        <v>668</v>
      </c>
      <c r="C804" s="301">
        <v>73</v>
      </c>
      <c r="D804" s="308">
        <v>93</v>
      </c>
      <c r="E804" s="301">
        <v>163</v>
      </c>
      <c r="F804" s="308" t="s">
        <v>654</v>
      </c>
      <c r="G804" s="303">
        <v>71</v>
      </c>
      <c r="H804" s="308">
        <v>71</v>
      </c>
      <c r="I804" s="304">
        <v>100000</v>
      </c>
      <c r="J804" s="309">
        <v>7100000</v>
      </c>
      <c r="K804" s="306">
        <f t="shared" si="3"/>
        <v>1.5658080451658434E-3</v>
      </c>
    </row>
    <row r="805" spans="1:11">
      <c r="A805" s="456"/>
      <c r="B805" s="324" t="s">
        <v>673</v>
      </c>
      <c r="C805" s="301">
        <v>82</v>
      </c>
      <c r="D805" s="308">
        <v>7</v>
      </c>
      <c r="E805" s="301">
        <v>100</v>
      </c>
      <c r="F805" s="308" t="s">
        <v>654</v>
      </c>
      <c r="G805" s="303">
        <v>94</v>
      </c>
      <c r="H805" s="308">
        <v>94</v>
      </c>
      <c r="I805" s="304">
        <v>100000</v>
      </c>
      <c r="J805" s="309">
        <v>9400000</v>
      </c>
      <c r="K805" s="306">
        <f t="shared" si="3"/>
        <v>2.0730416372618209E-3</v>
      </c>
    </row>
    <row r="806" spans="1:11">
      <c r="A806" s="456"/>
      <c r="B806" s="324" t="s">
        <v>661</v>
      </c>
      <c r="C806" s="301">
        <v>87</v>
      </c>
      <c r="D806" s="308">
        <v>1</v>
      </c>
      <c r="E806" s="301">
        <v>53</v>
      </c>
      <c r="F806" s="308" t="s">
        <v>654</v>
      </c>
      <c r="G806" s="303">
        <v>53</v>
      </c>
      <c r="H806" s="308">
        <v>53</v>
      </c>
      <c r="I806" s="304">
        <v>100000</v>
      </c>
      <c r="J806" s="309">
        <v>5300000</v>
      </c>
      <c r="K806" s="306">
        <f t="shared" si="3"/>
        <v>1.1688426252646437E-3</v>
      </c>
    </row>
    <row r="807" spans="1:11">
      <c r="A807" s="456"/>
      <c r="B807" s="323" t="s">
        <v>674</v>
      </c>
      <c r="C807" s="301">
        <v>116</v>
      </c>
      <c r="D807" s="308">
        <v>849</v>
      </c>
      <c r="E807" s="301">
        <v>1048</v>
      </c>
      <c r="F807" s="308" t="s">
        <v>654</v>
      </c>
      <c r="G807" s="303">
        <v>200</v>
      </c>
      <c r="H807" s="308">
        <v>200</v>
      </c>
      <c r="I807" s="304">
        <v>100000</v>
      </c>
      <c r="J807" s="309">
        <v>20000000</v>
      </c>
      <c r="K807" s="306">
        <f t="shared" ref="K807:K870" si="4">J807/$D$736</f>
        <v>4.4107268877911082E-3</v>
      </c>
    </row>
    <row r="808" spans="1:11">
      <c r="A808" s="460" t="s">
        <v>395</v>
      </c>
      <c r="B808" s="300" t="s">
        <v>683</v>
      </c>
      <c r="C808" s="310">
        <v>28</v>
      </c>
      <c r="D808" s="302">
        <v>133</v>
      </c>
      <c r="E808" s="310">
        <v>137</v>
      </c>
      <c r="F808" s="302" t="s">
        <v>654</v>
      </c>
      <c r="G808" s="311">
        <v>5</v>
      </c>
      <c r="H808" s="302">
        <v>5</v>
      </c>
      <c r="I808" s="312">
        <v>100000</v>
      </c>
      <c r="J808" s="305">
        <v>500000</v>
      </c>
      <c r="K808" s="306">
        <f t="shared" si="4"/>
        <v>1.1026817219477771E-4</v>
      </c>
    </row>
    <row r="809" spans="1:11">
      <c r="A809" s="461"/>
      <c r="B809" s="307" t="s">
        <v>686</v>
      </c>
      <c r="C809" s="301">
        <v>30</v>
      </c>
      <c r="D809" s="308">
        <v>1</v>
      </c>
      <c r="E809" s="301">
        <v>200</v>
      </c>
      <c r="F809" s="308" t="s">
        <v>654</v>
      </c>
      <c r="G809" s="303">
        <v>200</v>
      </c>
      <c r="H809" s="308">
        <v>200</v>
      </c>
      <c r="I809" s="304">
        <v>100000</v>
      </c>
      <c r="J809" s="309">
        <v>20000000</v>
      </c>
      <c r="K809" s="306">
        <f t="shared" si="4"/>
        <v>4.4107268877911082E-3</v>
      </c>
    </row>
    <row r="810" spans="1:11">
      <c r="A810" s="461"/>
      <c r="B810" s="307" t="s">
        <v>687</v>
      </c>
      <c r="C810" s="301">
        <v>31</v>
      </c>
      <c r="D810" s="308">
        <v>1</v>
      </c>
      <c r="E810" s="301">
        <v>200</v>
      </c>
      <c r="F810" s="308" t="s">
        <v>654</v>
      </c>
      <c r="G810" s="303">
        <v>200</v>
      </c>
      <c r="H810" s="308">
        <v>200</v>
      </c>
      <c r="I810" s="304">
        <v>100000</v>
      </c>
      <c r="J810" s="309">
        <v>20000000</v>
      </c>
      <c r="K810" s="306">
        <f t="shared" si="4"/>
        <v>4.4107268877911082E-3</v>
      </c>
    </row>
    <row r="811" spans="1:11">
      <c r="A811" s="461"/>
      <c r="B811" s="324" t="s">
        <v>658</v>
      </c>
      <c r="C811" s="301">
        <v>32</v>
      </c>
      <c r="D811" s="308">
        <v>1</v>
      </c>
      <c r="E811" s="301">
        <v>102</v>
      </c>
      <c r="F811" s="308" t="s">
        <v>654</v>
      </c>
      <c r="G811" s="303">
        <v>102</v>
      </c>
      <c r="H811" s="308">
        <v>102</v>
      </c>
      <c r="I811" s="304">
        <v>100000</v>
      </c>
      <c r="J811" s="309">
        <v>10200000</v>
      </c>
      <c r="K811" s="306">
        <f t="shared" si="4"/>
        <v>2.2494707127734652E-3</v>
      </c>
    </row>
    <row r="812" spans="1:11">
      <c r="A812" s="461"/>
      <c r="B812" s="324" t="s">
        <v>688</v>
      </c>
      <c r="C812" s="301">
        <v>36</v>
      </c>
      <c r="D812" s="308">
        <v>1</v>
      </c>
      <c r="E812" s="301">
        <v>200</v>
      </c>
      <c r="F812" s="308" t="s">
        <v>654</v>
      </c>
      <c r="G812" s="303">
        <v>200</v>
      </c>
      <c r="H812" s="308">
        <v>200</v>
      </c>
      <c r="I812" s="304">
        <v>100000</v>
      </c>
      <c r="J812" s="309">
        <v>20000000</v>
      </c>
      <c r="K812" s="306">
        <f t="shared" si="4"/>
        <v>4.4107268877911082E-3</v>
      </c>
    </row>
    <row r="813" spans="1:11">
      <c r="A813" s="461"/>
      <c r="B813" s="324" t="s">
        <v>674</v>
      </c>
      <c r="C813" s="301">
        <v>118</v>
      </c>
      <c r="D813" s="308">
        <v>2249</v>
      </c>
      <c r="E813" s="301">
        <v>5000</v>
      </c>
      <c r="F813" s="308" t="s">
        <v>654</v>
      </c>
      <c r="G813" s="303">
        <v>2752</v>
      </c>
      <c r="H813" s="308">
        <v>2752</v>
      </c>
      <c r="I813" s="304">
        <v>100000</v>
      </c>
      <c r="J813" s="309">
        <v>275200000</v>
      </c>
      <c r="K813" s="306">
        <f t="shared" si="4"/>
        <v>6.0691601976005649E-2</v>
      </c>
    </row>
    <row r="814" spans="1:11">
      <c r="A814" s="461"/>
      <c r="B814" s="324" t="s">
        <v>689</v>
      </c>
      <c r="C814" s="301">
        <v>119</v>
      </c>
      <c r="D814" s="308">
        <v>1</v>
      </c>
      <c r="E814" s="301">
        <v>2873</v>
      </c>
      <c r="F814" s="308" t="s">
        <v>654</v>
      </c>
      <c r="G814" s="303">
        <v>2873</v>
      </c>
      <c r="H814" s="308">
        <v>2873</v>
      </c>
      <c r="I814" s="304">
        <v>100000</v>
      </c>
      <c r="J814" s="309">
        <v>287300000</v>
      </c>
      <c r="K814" s="306">
        <f t="shared" si="4"/>
        <v>6.3360091743119268E-2</v>
      </c>
    </row>
    <row r="815" spans="1:11">
      <c r="A815" s="462"/>
      <c r="B815" s="325" t="s">
        <v>689</v>
      </c>
      <c r="C815" s="314">
        <v>119</v>
      </c>
      <c r="D815" s="315">
        <v>2873</v>
      </c>
      <c r="E815" s="314">
        <v>4440</v>
      </c>
      <c r="F815" s="315" t="s">
        <v>654</v>
      </c>
      <c r="G815" s="316">
        <v>1567</v>
      </c>
      <c r="H815" s="315">
        <v>1567</v>
      </c>
      <c r="I815" s="317">
        <v>100000</v>
      </c>
      <c r="J815" s="318">
        <v>156700000</v>
      </c>
      <c r="K815" s="306">
        <f t="shared" si="4"/>
        <v>3.4558045165843328E-2</v>
      </c>
    </row>
    <row r="816" spans="1:11">
      <c r="A816" s="326" t="s">
        <v>690</v>
      </c>
      <c r="B816" s="327" t="s">
        <v>674</v>
      </c>
      <c r="C816" s="328">
        <v>117</v>
      </c>
      <c r="D816" s="329">
        <v>1049</v>
      </c>
      <c r="E816" s="328">
        <v>2248</v>
      </c>
      <c r="F816" s="329" t="s">
        <v>654</v>
      </c>
      <c r="G816" s="330">
        <v>1200</v>
      </c>
      <c r="H816" s="329">
        <v>1200</v>
      </c>
      <c r="I816" s="331">
        <v>100000</v>
      </c>
      <c r="J816" s="332">
        <v>120000000</v>
      </c>
      <c r="K816" s="306">
        <f t="shared" si="4"/>
        <v>2.6464361326746649E-2</v>
      </c>
    </row>
    <row r="817" spans="1:11">
      <c r="A817" s="461" t="s">
        <v>691</v>
      </c>
      <c r="B817" s="307" t="s">
        <v>685</v>
      </c>
      <c r="C817" s="301">
        <v>2</v>
      </c>
      <c r="D817" s="308">
        <v>101</v>
      </c>
      <c r="E817" s="301">
        <v>200</v>
      </c>
      <c r="F817" s="308" t="s">
        <v>654</v>
      </c>
      <c r="G817" s="303">
        <v>100</v>
      </c>
      <c r="H817" s="308">
        <v>100</v>
      </c>
      <c r="I817" s="304">
        <v>100000</v>
      </c>
      <c r="J817" s="309">
        <v>10000000</v>
      </c>
      <c r="K817" s="306">
        <f t="shared" si="4"/>
        <v>2.2053634438955541E-3</v>
      </c>
    </row>
    <row r="818" spans="1:11">
      <c r="A818" s="461"/>
      <c r="B818" s="307" t="s">
        <v>653</v>
      </c>
      <c r="C818" s="301">
        <v>4</v>
      </c>
      <c r="D818" s="308">
        <v>51</v>
      </c>
      <c r="E818" s="301">
        <v>150</v>
      </c>
      <c r="F818" s="308" t="s">
        <v>654</v>
      </c>
      <c r="G818" s="303">
        <v>100</v>
      </c>
      <c r="H818" s="308">
        <v>100</v>
      </c>
      <c r="I818" s="304">
        <v>100000</v>
      </c>
      <c r="J818" s="309">
        <v>10000000</v>
      </c>
      <c r="K818" s="306">
        <f t="shared" si="4"/>
        <v>2.2053634438955541E-3</v>
      </c>
    </row>
    <row r="819" spans="1:11">
      <c r="A819" s="461"/>
      <c r="B819" s="307" t="s">
        <v>653</v>
      </c>
      <c r="C819" s="301">
        <v>6</v>
      </c>
      <c r="D819" s="308">
        <v>161</v>
      </c>
      <c r="E819" s="301">
        <v>165</v>
      </c>
      <c r="F819" s="308" t="s">
        <v>654</v>
      </c>
      <c r="G819" s="303">
        <v>5</v>
      </c>
      <c r="H819" s="308">
        <v>5</v>
      </c>
      <c r="I819" s="304">
        <v>100000</v>
      </c>
      <c r="J819" s="309">
        <v>500000</v>
      </c>
      <c r="K819" s="306">
        <f t="shared" si="4"/>
        <v>1.1026817219477771E-4</v>
      </c>
    </row>
    <row r="820" spans="1:11">
      <c r="A820" s="461"/>
      <c r="B820" s="307" t="s">
        <v>653</v>
      </c>
      <c r="C820" s="301">
        <v>8</v>
      </c>
      <c r="D820" s="308">
        <v>181</v>
      </c>
      <c r="E820" s="301">
        <v>195</v>
      </c>
      <c r="F820" s="308" t="s">
        <v>654</v>
      </c>
      <c r="G820" s="303">
        <v>15</v>
      </c>
      <c r="H820" s="308">
        <v>15</v>
      </c>
      <c r="I820" s="304">
        <v>100000</v>
      </c>
      <c r="J820" s="309">
        <v>1500000</v>
      </c>
      <c r="K820" s="306">
        <f t="shared" si="4"/>
        <v>3.3080451658433312E-4</v>
      </c>
    </row>
    <row r="821" spans="1:11">
      <c r="A821" s="461"/>
      <c r="B821" s="307" t="s">
        <v>653</v>
      </c>
      <c r="C821" s="301">
        <v>11</v>
      </c>
      <c r="D821" s="308">
        <v>200</v>
      </c>
      <c r="E821" s="301">
        <v>200</v>
      </c>
      <c r="F821" s="308" t="s">
        <v>654</v>
      </c>
      <c r="G821" s="303">
        <v>1</v>
      </c>
      <c r="H821" s="308">
        <v>1</v>
      </c>
      <c r="I821" s="304">
        <v>100000</v>
      </c>
      <c r="J821" s="309">
        <v>100000</v>
      </c>
      <c r="K821" s="306">
        <f t="shared" si="4"/>
        <v>2.2053634438955541E-5</v>
      </c>
    </row>
    <row r="822" spans="1:11">
      <c r="A822" s="461"/>
      <c r="B822" s="307" t="s">
        <v>666</v>
      </c>
      <c r="C822" s="301">
        <v>12</v>
      </c>
      <c r="D822" s="308">
        <v>1</v>
      </c>
      <c r="E822" s="301">
        <v>100</v>
      </c>
      <c r="F822" s="308" t="s">
        <v>654</v>
      </c>
      <c r="G822" s="303">
        <v>100</v>
      </c>
      <c r="H822" s="308">
        <v>100</v>
      </c>
      <c r="I822" s="304">
        <v>100000</v>
      </c>
      <c r="J822" s="309">
        <v>10000000</v>
      </c>
      <c r="K822" s="306">
        <f t="shared" si="4"/>
        <v>2.2053634438955541E-3</v>
      </c>
    </row>
    <row r="823" spans="1:11">
      <c r="A823" s="461"/>
      <c r="B823" s="307" t="s">
        <v>666</v>
      </c>
      <c r="C823" s="301">
        <v>14</v>
      </c>
      <c r="D823" s="308">
        <v>151</v>
      </c>
      <c r="E823" s="301">
        <v>180</v>
      </c>
      <c r="F823" s="308" t="s">
        <v>654</v>
      </c>
      <c r="G823" s="303">
        <v>30</v>
      </c>
      <c r="H823" s="308">
        <v>30</v>
      </c>
      <c r="I823" s="304">
        <v>100000</v>
      </c>
      <c r="J823" s="309">
        <v>3000000</v>
      </c>
      <c r="K823" s="306">
        <f t="shared" si="4"/>
        <v>6.6160903316866623E-4</v>
      </c>
    </row>
    <row r="824" spans="1:11">
      <c r="A824" s="461"/>
      <c r="B824" s="307" t="s">
        <v>666</v>
      </c>
      <c r="C824" s="301">
        <v>16</v>
      </c>
      <c r="D824" s="308">
        <v>191</v>
      </c>
      <c r="E824" s="301">
        <v>199</v>
      </c>
      <c r="F824" s="308" t="s">
        <v>654</v>
      </c>
      <c r="G824" s="303">
        <v>9</v>
      </c>
      <c r="H824" s="308">
        <v>9</v>
      </c>
      <c r="I824" s="304">
        <v>100000</v>
      </c>
      <c r="J824" s="309">
        <v>900000</v>
      </c>
      <c r="K824" s="306">
        <f t="shared" si="4"/>
        <v>1.9848270995059987E-4</v>
      </c>
    </row>
    <row r="825" spans="1:11">
      <c r="A825" s="461"/>
      <c r="B825" s="307" t="s">
        <v>664</v>
      </c>
      <c r="C825" s="301">
        <v>19</v>
      </c>
      <c r="D825" s="308">
        <v>101</v>
      </c>
      <c r="E825" s="301">
        <v>190</v>
      </c>
      <c r="F825" s="308" t="s">
        <v>654</v>
      </c>
      <c r="G825" s="303">
        <v>90</v>
      </c>
      <c r="H825" s="308">
        <v>90</v>
      </c>
      <c r="I825" s="304">
        <v>100000</v>
      </c>
      <c r="J825" s="309">
        <v>9000000</v>
      </c>
      <c r="K825" s="306">
        <f t="shared" si="4"/>
        <v>1.9848270995059987E-3</v>
      </c>
    </row>
    <row r="826" spans="1:11">
      <c r="A826" s="461"/>
      <c r="B826" s="307" t="s">
        <v>679</v>
      </c>
      <c r="C826" s="301">
        <v>22</v>
      </c>
      <c r="D826" s="308">
        <v>101</v>
      </c>
      <c r="E826" s="301">
        <v>170</v>
      </c>
      <c r="F826" s="308" t="s">
        <v>654</v>
      </c>
      <c r="G826" s="303">
        <v>70</v>
      </c>
      <c r="H826" s="308">
        <v>70</v>
      </c>
      <c r="I826" s="304">
        <v>100000</v>
      </c>
      <c r="J826" s="309">
        <v>7000000</v>
      </c>
      <c r="K826" s="306">
        <f t="shared" si="4"/>
        <v>1.5437544107268879E-3</v>
      </c>
    </row>
    <row r="827" spans="1:11">
      <c r="A827" s="461"/>
      <c r="B827" s="307" t="s">
        <v>676</v>
      </c>
      <c r="C827" s="301">
        <v>24</v>
      </c>
      <c r="D827" s="308">
        <v>1</v>
      </c>
      <c r="E827" s="301">
        <v>50</v>
      </c>
      <c r="F827" s="308" t="s">
        <v>654</v>
      </c>
      <c r="G827" s="303">
        <v>50</v>
      </c>
      <c r="H827" s="308">
        <v>50</v>
      </c>
      <c r="I827" s="304">
        <v>100000</v>
      </c>
      <c r="J827" s="309">
        <v>5000000</v>
      </c>
      <c r="K827" s="306">
        <f t="shared" si="4"/>
        <v>1.1026817219477771E-3</v>
      </c>
    </row>
    <row r="828" spans="1:11">
      <c r="A828" s="461"/>
      <c r="B828" s="307" t="s">
        <v>683</v>
      </c>
      <c r="C828" s="301">
        <v>29</v>
      </c>
      <c r="D828" s="308">
        <v>138</v>
      </c>
      <c r="E828" s="301">
        <v>200</v>
      </c>
      <c r="F828" s="308" t="s">
        <v>654</v>
      </c>
      <c r="G828" s="303">
        <v>63</v>
      </c>
      <c r="H828" s="308">
        <v>63</v>
      </c>
      <c r="I828" s="304">
        <v>100000</v>
      </c>
      <c r="J828" s="309">
        <v>6300000</v>
      </c>
      <c r="K828" s="306">
        <f t="shared" si="4"/>
        <v>1.3893789696541991E-3</v>
      </c>
    </row>
    <row r="829" spans="1:11">
      <c r="A829" s="461"/>
      <c r="B829" s="307" t="s">
        <v>692</v>
      </c>
      <c r="C829" s="301">
        <v>37</v>
      </c>
      <c r="D829" s="308">
        <v>1</v>
      </c>
      <c r="E829" s="301">
        <v>200</v>
      </c>
      <c r="F829" s="308" t="s">
        <v>654</v>
      </c>
      <c r="G829" s="303">
        <v>200</v>
      </c>
      <c r="H829" s="308">
        <v>200</v>
      </c>
      <c r="I829" s="304">
        <v>100000</v>
      </c>
      <c r="J829" s="309">
        <v>20000000</v>
      </c>
      <c r="K829" s="306">
        <f t="shared" si="4"/>
        <v>4.4107268877911082E-3</v>
      </c>
    </row>
    <row r="830" spans="1:11">
      <c r="A830" s="461"/>
      <c r="B830" s="307" t="s">
        <v>693</v>
      </c>
      <c r="C830" s="301">
        <v>38</v>
      </c>
      <c r="D830" s="308">
        <v>1</v>
      </c>
      <c r="E830" s="301">
        <v>200</v>
      </c>
      <c r="F830" s="308" t="s">
        <v>654</v>
      </c>
      <c r="G830" s="303">
        <v>200</v>
      </c>
      <c r="H830" s="308">
        <v>200</v>
      </c>
      <c r="I830" s="304">
        <v>100000</v>
      </c>
      <c r="J830" s="309">
        <v>20000000</v>
      </c>
      <c r="K830" s="306">
        <f t="shared" si="4"/>
        <v>4.4107268877911082E-3</v>
      </c>
    </row>
    <row r="831" spans="1:11">
      <c r="A831" s="461"/>
      <c r="B831" s="307" t="s">
        <v>694</v>
      </c>
      <c r="C831" s="301">
        <v>39</v>
      </c>
      <c r="D831" s="308">
        <v>1</v>
      </c>
      <c r="E831" s="301">
        <v>200</v>
      </c>
      <c r="F831" s="308" t="s">
        <v>654</v>
      </c>
      <c r="G831" s="303">
        <v>200</v>
      </c>
      <c r="H831" s="308">
        <v>200</v>
      </c>
      <c r="I831" s="304">
        <v>100000</v>
      </c>
      <c r="J831" s="309">
        <v>20000000</v>
      </c>
      <c r="K831" s="306">
        <f t="shared" si="4"/>
        <v>4.4107268877911082E-3</v>
      </c>
    </row>
    <row r="832" spans="1:11">
      <c r="A832" s="461"/>
      <c r="B832" s="307" t="s">
        <v>695</v>
      </c>
      <c r="C832" s="301">
        <v>40</v>
      </c>
      <c r="D832" s="308">
        <v>1</v>
      </c>
      <c r="E832" s="301">
        <v>200</v>
      </c>
      <c r="F832" s="308" t="s">
        <v>654</v>
      </c>
      <c r="G832" s="303">
        <v>200</v>
      </c>
      <c r="H832" s="308">
        <v>200</v>
      </c>
      <c r="I832" s="304">
        <v>100000</v>
      </c>
      <c r="J832" s="309">
        <v>20000000</v>
      </c>
      <c r="K832" s="306">
        <f t="shared" si="4"/>
        <v>4.4107268877911082E-3</v>
      </c>
    </row>
    <row r="833" spans="1:11">
      <c r="A833" s="461"/>
      <c r="B833" s="307" t="s">
        <v>696</v>
      </c>
      <c r="C833" s="301">
        <v>41</v>
      </c>
      <c r="D833" s="308">
        <v>1</v>
      </c>
      <c r="E833" s="301">
        <v>200</v>
      </c>
      <c r="F833" s="308" t="s">
        <v>654</v>
      </c>
      <c r="G833" s="303">
        <v>200</v>
      </c>
      <c r="H833" s="308">
        <v>200</v>
      </c>
      <c r="I833" s="304">
        <v>100000</v>
      </c>
      <c r="J833" s="309">
        <v>20000000</v>
      </c>
      <c r="K833" s="306">
        <f t="shared" si="4"/>
        <v>4.4107268877911082E-3</v>
      </c>
    </row>
    <row r="834" spans="1:11">
      <c r="A834" s="461"/>
      <c r="B834" s="307" t="s">
        <v>697</v>
      </c>
      <c r="C834" s="301">
        <v>42</v>
      </c>
      <c r="D834" s="308">
        <v>1</v>
      </c>
      <c r="E834" s="301">
        <v>200</v>
      </c>
      <c r="F834" s="308" t="s">
        <v>654</v>
      </c>
      <c r="G834" s="303">
        <v>200</v>
      </c>
      <c r="H834" s="308">
        <v>200</v>
      </c>
      <c r="I834" s="304">
        <v>100000</v>
      </c>
      <c r="J834" s="309">
        <v>20000000</v>
      </c>
      <c r="K834" s="306">
        <f t="shared" si="4"/>
        <v>4.4107268877911082E-3</v>
      </c>
    </row>
    <row r="835" spans="1:11">
      <c r="A835" s="461"/>
      <c r="B835" s="307" t="s">
        <v>698</v>
      </c>
      <c r="C835" s="301">
        <v>43</v>
      </c>
      <c r="D835" s="308">
        <v>1</v>
      </c>
      <c r="E835" s="301">
        <v>200</v>
      </c>
      <c r="F835" s="308" t="s">
        <v>654</v>
      </c>
      <c r="G835" s="303">
        <v>200</v>
      </c>
      <c r="H835" s="308">
        <v>200</v>
      </c>
      <c r="I835" s="304">
        <v>100000</v>
      </c>
      <c r="J835" s="309">
        <v>20000000</v>
      </c>
      <c r="K835" s="306">
        <f t="shared" si="4"/>
        <v>4.4107268877911082E-3</v>
      </c>
    </row>
    <row r="836" spans="1:11">
      <c r="A836" s="461"/>
      <c r="B836" s="307" t="s">
        <v>699</v>
      </c>
      <c r="C836" s="301">
        <v>44</v>
      </c>
      <c r="D836" s="308">
        <v>1</v>
      </c>
      <c r="E836" s="301">
        <v>200</v>
      </c>
      <c r="F836" s="308" t="s">
        <v>654</v>
      </c>
      <c r="G836" s="303">
        <v>200</v>
      </c>
      <c r="H836" s="308">
        <v>200</v>
      </c>
      <c r="I836" s="304">
        <v>100000</v>
      </c>
      <c r="J836" s="309">
        <v>20000000</v>
      </c>
      <c r="K836" s="306">
        <f t="shared" si="4"/>
        <v>4.4107268877911082E-3</v>
      </c>
    </row>
    <row r="837" spans="1:11">
      <c r="A837" s="461"/>
      <c r="B837" s="307" t="s">
        <v>700</v>
      </c>
      <c r="C837" s="301">
        <v>45</v>
      </c>
      <c r="D837" s="308">
        <v>1</v>
      </c>
      <c r="E837" s="301">
        <v>200</v>
      </c>
      <c r="F837" s="308" t="s">
        <v>654</v>
      </c>
      <c r="G837" s="303">
        <v>200</v>
      </c>
      <c r="H837" s="308">
        <v>200</v>
      </c>
      <c r="I837" s="304">
        <v>100000</v>
      </c>
      <c r="J837" s="309">
        <v>20000000</v>
      </c>
      <c r="K837" s="306">
        <f t="shared" si="4"/>
        <v>4.4107268877911082E-3</v>
      </c>
    </row>
    <row r="838" spans="1:11">
      <c r="A838" s="461"/>
      <c r="B838" s="307" t="s">
        <v>701</v>
      </c>
      <c r="C838" s="301">
        <v>46</v>
      </c>
      <c r="D838" s="308">
        <v>1</v>
      </c>
      <c r="E838" s="301">
        <v>200</v>
      </c>
      <c r="F838" s="308" t="s">
        <v>654</v>
      </c>
      <c r="G838" s="303">
        <v>200</v>
      </c>
      <c r="H838" s="308">
        <v>200</v>
      </c>
      <c r="I838" s="304">
        <v>100000</v>
      </c>
      <c r="J838" s="309">
        <v>20000000</v>
      </c>
      <c r="K838" s="306">
        <f t="shared" si="4"/>
        <v>4.4107268877911082E-3</v>
      </c>
    </row>
    <row r="839" spans="1:11">
      <c r="A839" s="461"/>
      <c r="B839" s="307" t="s">
        <v>702</v>
      </c>
      <c r="C839" s="301">
        <v>47</v>
      </c>
      <c r="D839" s="308">
        <v>1</v>
      </c>
      <c r="E839" s="301">
        <v>200</v>
      </c>
      <c r="F839" s="308" t="s">
        <v>654</v>
      </c>
      <c r="G839" s="303">
        <v>200</v>
      </c>
      <c r="H839" s="308">
        <v>200</v>
      </c>
      <c r="I839" s="304">
        <v>100000</v>
      </c>
      <c r="J839" s="309">
        <v>20000000</v>
      </c>
      <c r="K839" s="306">
        <f t="shared" si="4"/>
        <v>4.4107268877911082E-3</v>
      </c>
    </row>
    <row r="840" spans="1:11">
      <c r="A840" s="461"/>
      <c r="B840" s="307" t="s">
        <v>703</v>
      </c>
      <c r="C840" s="301">
        <v>48</v>
      </c>
      <c r="D840" s="308">
        <v>1</v>
      </c>
      <c r="E840" s="301">
        <v>200</v>
      </c>
      <c r="F840" s="308" t="s">
        <v>654</v>
      </c>
      <c r="G840" s="303">
        <v>200</v>
      </c>
      <c r="H840" s="308">
        <v>200</v>
      </c>
      <c r="I840" s="304">
        <v>100000</v>
      </c>
      <c r="J840" s="309">
        <v>20000000</v>
      </c>
      <c r="K840" s="306">
        <f t="shared" si="4"/>
        <v>4.4107268877911082E-3</v>
      </c>
    </row>
    <row r="841" spans="1:11">
      <c r="A841" s="461"/>
      <c r="B841" s="307" t="s">
        <v>704</v>
      </c>
      <c r="C841" s="301">
        <v>49</v>
      </c>
      <c r="D841" s="308">
        <v>1</v>
      </c>
      <c r="E841" s="301">
        <v>200</v>
      </c>
      <c r="F841" s="308" t="s">
        <v>654</v>
      </c>
      <c r="G841" s="303">
        <v>200</v>
      </c>
      <c r="H841" s="308">
        <v>200</v>
      </c>
      <c r="I841" s="304">
        <v>100000</v>
      </c>
      <c r="J841" s="309">
        <v>20000000</v>
      </c>
      <c r="K841" s="306">
        <f t="shared" si="4"/>
        <v>4.4107268877911082E-3</v>
      </c>
    </row>
    <row r="842" spans="1:11">
      <c r="A842" s="461"/>
      <c r="B842" s="307" t="s">
        <v>705</v>
      </c>
      <c r="C842" s="301">
        <v>50</v>
      </c>
      <c r="D842" s="308">
        <v>1</v>
      </c>
      <c r="E842" s="301">
        <v>200</v>
      </c>
      <c r="F842" s="308" t="s">
        <v>654</v>
      </c>
      <c r="G842" s="303">
        <v>200</v>
      </c>
      <c r="H842" s="308">
        <v>200</v>
      </c>
      <c r="I842" s="304">
        <v>100000</v>
      </c>
      <c r="J842" s="309">
        <v>20000000</v>
      </c>
      <c r="K842" s="306">
        <f t="shared" si="4"/>
        <v>4.4107268877911082E-3</v>
      </c>
    </row>
    <row r="843" spans="1:11">
      <c r="A843" s="461"/>
      <c r="B843" s="307" t="s">
        <v>706</v>
      </c>
      <c r="C843" s="301">
        <v>51</v>
      </c>
      <c r="D843" s="308">
        <v>1</v>
      </c>
      <c r="E843" s="301">
        <v>200</v>
      </c>
      <c r="F843" s="308" t="s">
        <v>654</v>
      </c>
      <c r="G843" s="303">
        <v>200</v>
      </c>
      <c r="H843" s="308">
        <v>200</v>
      </c>
      <c r="I843" s="304">
        <v>100000</v>
      </c>
      <c r="J843" s="309">
        <v>20000000</v>
      </c>
      <c r="K843" s="306">
        <f t="shared" si="4"/>
        <v>4.4107268877911082E-3</v>
      </c>
    </row>
    <row r="844" spans="1:11">
      <c r="A844" s="461"/>
      <c r="B844" s="307" t="s">
        <v>707</v>
      </c>
      <c r="C844" s="301">
        <v>52</v>
      </c>
      <c r="D844" s="308">
        <v>1</v>
      </c>
      <c r="E844" s="301">
        <v>200</v>
      </c>
      <c r="F844" s="308" t="s">
        <v>654</v>
      </c>
      <c r="G844" s="303">
        <v>200</v>
      </c>
      <c r="H844" s="308">
        <v>200</v>
      </c>
      <c r="I844" s="304">
        <v>100000</v>
      </c>
      <c r="J844" s="309">
        <v>20000000</v>
      </c>
      <c r="K844" s="306">
        <f t="shared" si="4"/>
        <v>4.4107268877911082E-3</v>
      </c>
    </row>
    <row r="845" spans="1:11">
      <c r="A845" s="461"/>
      <c r="B845" s="307" t="s">
        <v>708</v>
      </c>
      <c r="C845" s="301">
        <v>53</v>
      </c>
      <c r="D845" s="308">
        <v>1</v>
      </c>
      <c r="E845" s="301">
        <v>200</v>
      </c>
      <c r="F845" s="308" t="s">
        <v>654</v>
      </c>
      <c r="G845" s="303">
        <v>200</v>
      </c>
      <c r="H845" s="308">
        <v>200</v>
      </c>
      <c r="I845" s="304">
        <v>100000</v>
      </c>
      <c r="J845" s="309">
        <v>20000000</v>
      </c>
      <c r="K845" s="306">
        <f t="shared" si="4"/>
        <v>4.4107268877911082E-3</v>
      </c>
    </row>
    <row r="846" spans="1:11">
      <c r="A846" s="461"/>
      <c r="B846" s="307" t="s">
        <v>709</v>
      </c>
      <c r="C846" s="301">
        <v>54</v>
      </c>
      <c r="D846" s="308">
        <v>1</v>
      </c>
      <c r="E846" s="301">
        <v>200</v>
      </c>
      <c r="F846" s="308" t="s">
        <v>654</v>
      </c>
      <c r="G846" s="303">
        <v>200</v>
      </c>
      <c r="H846" s="308">
        <v>200</v>
      </c>
      <c r="I846" s="304">
        <v>100000</v>
      </c>
      <c r="J846" s="309">
        <v>20000000</v>
      </c>
      <c r="K846" s="306">
        <f t="shared" si="4"/>
        <v>4.4107268877911082E-3</v>
      </c>
    </row>
    <row r="847" spans="1:11">
      <c r="A847" s="461"/>
      <c r="B847" s="307" t="s">
        <v>710</v>
      </c>
      <c r="C847" s="301">
        <v>55</v>
      </c>
      <c r="D847" s="308">
        <v>1</v>
      </c>
      <c r="E847" s="301">
        <v>200</v>
      </c>
      <c r="F847" s="308" t="s">
        <v>654</v>
      </c>
      <c r="G847" s="303">
        <v>200</v>
      </c>
      <c r="H847" s="308">
        <v>200</v>
      </c>
      <c r="I847" s="304">
        <v>100000</v>
      </c>
      <c r="J847" s="309">
        <v>20000000</v>
      </c>
      <c r="K847" s="306">
        <f t="shared" si="4"/>
        <v>4.4107268877911082E-3</v>
      </c>
    </row>
    <row r="848" spans="1:11">
      <c r="A848" s="461"/>
      <c r="B848" s="307" t="s">
        <v>711</v>
      </c>
      <c r="C848" s="301">
        <v>56</v>
      </c>
      <c r="D848" s="308">
        <v>1</v>
      </c>
      <c r="E848" s="301">
        <v>200</v>
      </c>
      <c r="F848" s="308" t="s">
        <v>654</v>
      </c>
      <c r="G848" s="303">
        <v>200</v>
      </c>
      <c r="H848" s="308">
        <v>200</v>
      </c>
      <c r="I848" s="304">
        <v>100000</v>
      </c>
      <c r="J848" s="309">
        <v>20000000</v>
      </c>
      <c r="K848" s="306">
        <f t="shared" si="4"/>
        <v>4.4107268877911082E-3</v>
      </c>
    </row>
    <row r="849" spans="1:11">
      <c r="A849" s="461"/>
      <c r="B849" s="307" t="s">
        <v>668</v>
      </c>
      <c r="C849" s="301">
        <v>72</v>
      </c>
      <c r="D849" s="308">
        <v>1</v>
      </c>
      <c r="E849" s="301">
        <v>92</v>
      </c>
      <c r="F849" s="308" t="s">
        <v>654</v>
      </c>
      <c r="G849" s="303">
        <v>92</v>
      </c>
      <c r="H849" s="308">
        <v>92</v>
      </c>
      <c r="I849" s="304">
        <v>100000</v>
      </c>
      <c r="J849" s="309">
        <v>9200000</v>
      </c>
      <c r="K849" s="306">
        <f t="shared" si="4"/>
        <v>2.0289343683839098E-3</v>
      </c>
    </row>
    <row r="850" spans="1:11">
      <c r="A850" s="461"/>
      <c r="B850" s="307" t="s">
        <v>672</v>
      </c>
      <c r="C850" s="301">
        <v>79</v>
      </c>
      <c r="D850" s="308">
        <v>1</v>
      </c>
      <c r="E850" s="301">
        <v>192</v>
      </c>
      <c r="F850" s="308" t="s">
        <v>654</v>
      </c>
      <c r="G850" s="303">
        <v>192</v>
      </c>
      <c r="H850" s="308">
        <v>192</v>
      </c>
      <c r="I850" s="304">
        <v>100000</v>
      </c>
      <c r="J850" s="309">
        <v>19200000</v>
      </c>
      <c r="K850" s="306">
        <f t="shared" si="4"/>
        <v>4.2342978122794639E-3</v>
      </c>
    </row>
    <row r="851" spans="1:11">
      <c r="A851" s="461"/>
      <c r="B851" s="307" t="s">
        <v>673</v>
      </c>
      <c r="C851" s="301">
        <v>83</v>
      </c>
      <c r="D851" s="308">
        <v>101</v>
      </c>
      <c r="E851" s="301">
        <v>200</v>
      </c>
      <c r="F851" s="308" t="s">
        <v>654</v>
      </c>
      <c r="G851" s="303">
        <v>100</v>
      </c>
      <c r="H851" s="308">
        <v>100</v>
      </c>
      <c r="I851" s="304">
        <v>100000</v>
      </c>
      <c r="J851" s="309">
        <v>10000000</v>
      </c>
      <c r="K851" s="306">
        <f t="shared" si="4"/>
        <v>2.2053634438955541E-3</v>
      </c>
    </row>
    <row r="852" spans="1:11">
      <c r="A852" s="461"/>
      <c r="B852" s="307" t="s">
        <v>712</v>
      </c>
      <c r="C852" s="301">
        <v>84</v>
      </c>
      <c r="D852" s="308">
        <v>1</v>
      </c>
      <c r="E852" s="301">
        <v>200</v>
      </c>
      <c r="F852" s="308" t="s">
        <v>654</v>
      </c>
      <c r="G852" s="303">
        <v>200</v>
      </c>
      <c r="H852" s="308">
        <v>200</v>
      </c>
      <c r="I852" s="304">
        <v>100000</v>
      </c>
      <c r="J852" s="309">
        <v>20000000</v>
      </c>
      <c r="K852" s="306">
        <f t="shared" si="4"/>
        <v>4.4107268877911082E-3</v>
      </c>
    </row>
    <row r="853" spans="1:11">
      <c r="A853" s="461"/>
      <c r="B853" s="307" t="s">
        <v>713</v>
      </c>
      <c r="C853" s="301">
        <v>85</v>
      </c>
      <c r="D853" s="308">
        <v>1</v>
      </c>
      <c r="E853" s="301">
        <v>200</v>
      </c>
      <c r="F853" s="308" t="s">
        <v>654</v>
      </c>
      <c r="G853" s="303">
        <v>200</v>
      </c>
      <c r="H853" s="308">
        <v>200</v>
      </c>
      <c r="I853" s="304">
        <v>100000</v>
      </c>
      <c r="J853" s="309">
        <v>20000000</v>
      </c>
      <c r="K853" s="306">
        <f t="shared" si="4"/>
        <v>4.4107268877911082E-3</v>
      </c>
    </row>
    <row r="854" spans="1:11">
      <c r="A854" s="461"/>
      <c r="B854" s="307" t="s">
        <v>714</v>
      </c>
      <c r="C854" s="301">
        <v>86</v>
      </c>
      <c r="D854" s="308">
        <v>1</v>
      </c>
      <c r="E854" s="301">
        <v>200</v>
      </c>
      <c r="F854" s="308" t="s">
        <v>654</v>
      </c>
      <c r="G854" s="303">
        <v>200</v>
      </c>
      <c r="H854" s="308">
        <v>200</v>
      </c>
      <c r="I854" s="304">
        <v>100000</v>
      </c>
      <c r="J854" s="309">
        <v>20000000</v>
      </c>
      <c r="K854" s="306">
        <f t="shared" si="4"/>
        <v>4.4107268877911082E-3</v>
      </c>
    </row>
    <row r="855" spans="1:11">
      <c r="A855" s="461"/>
      <c r="B855" s="307" t="s">
        <v>715</v>
      </c>
      <c r="C855" s="301">
        <v>98</v>
      </c>
      <c r="D855" s="308">
        <v>1</v>
      </c>
      <c r="E855" s="301">
        <v>200</v>
      </c>
      <c r="F855" s="308" t="s">
        <v>654</v>
      </c>
      <c r="G855" s="303">
        <v>200</v>
      </c>
      <c r="H855" s="308">
        <v>200</v>
      </c>
      <c r="I855" s="304">
        <v>100000</v>
      </c>
      <c r="J855" s="309">
        <v>20000000</v>
      </c>
      <c r="K855" s="306">
        <f t="shared" si="4"/>
        <v>4.4107268877911082E-3</v>
      </c>
    </row>
    <row r="856" spans="1:11">
      <c r="A856" s="461"/>
      <c r="B856" s="307" t="s">
        <v>716</v>
      </c>
      <c r="C856" s="301">
        <v>99</v>
      </c>
      <c r="D856" s="308">
        <v>1</v>
      </c>
      <c r="E856" s="301">
        <v>200</v>
      </c>
      <c r="F856" s="308" t="s">
        <v>654</v>
      </c>
      <c r="G856" s="303">
        <v>200</v>
      </c>
      <c r="H856" s="308">
        <v>200</v>
      </c>
      <c r="I856" s="304">
        <v>100000</v>
      </c>
      <c r="J856" s="309">
        <v>20000000</v>
      </c>
      <c r="K856" s="306">
        <f t="shared" si="4"/>
        <v>4.4107268877911082E-3</v>
      </c>
    </row>
    <row r="857" spans="1:11">
      <c r="A857" s="461"/>
      <c r="B857" s="307" t="s">
        <v>717</v>
      </c>
      <c r="C857" s="301">
        <v>100</v>
      </c>
      <c r="D857" s="308">
        <v>1</v>
      </c>
      <c r="E857" s="301">
        <v>200</v>
      </c>
      <c r="F857" s="308" t="s">
        <v>654</v>
      </c>
      <c r="G857" s="303">
        <v>200</v>
      </c>
      <c r="H857" s="308">
        <v>200</v>
      </c>
      <c r="I857" s="304">
        <v>100000</v>
      </c>
      <c r="J857" s="309">
        <v>20000000</v>
      </c>
      <c r="K857" s="306">
        <f t="shared" si="4"/>
        <v>4.4107268877911082E-3</v>
      </c>
    </row>
    <row r="858" spans="1:11">
      <c r="A858" s="461"/>
      <c r="B858" s="307" t="s">
        <v>718</v>
      </c>
      <c r="C858" s="301">
        <v>101</v>
      </c>
      <c r="D858" s="308">
        <v>1</v>
      </c>
      <c r="E858" s="301">
        <v>200</v>
      </c>
      <c r="F858" s="308" t="s">
        <v>654</v>
      </c>
      <c r="G858" s="303">
        <v>200</v>
      </c>
      <c r="H858" s="308">
        <v>200</v>
      </c>
      <c r="I858" s="304">
        <v>100000</v>
      </c>
      <c r="J858" s="309">
        <v>20000000</v>
      </c>
      <c r="K858" s="306">
        <f t="shared" si="4"/>
        <v>4.4107268877911082E-3</v>
      </c>
    </row>
    <row r="859" spans="1:11">
      <c r="A859" s="461"/>
      <c r="B859" s="307" t="s">
        <v>656</v>
      </c>
      <c r="C859" s="301">
        <v>103</v>
      </c>
      <c r="D859" s="308">
        <v>13</v>
      </c>
      <c r="E859" s="301">
        <v>2420</v>
      </c>
      <c r="F859" s="308" t="s">
        <v>654</v>
      </c>
      <c r="G859" s="303">
        <v>2408</v>
      </c>
      <c r="H859" s="308">
        <v>2408</v>
      </c>
      <c r="I859" s="304">
        <v>100000</v>
      </c>
      <c r="J859" s="309">
        <v>240800000</v>
      </c>
      <c r="K859" s="306">
        <f t="shared" si="4"/>
        <v>5.3105151729004943E-2</v>
      </c>
    </row>
    <row r="860" spans="1:11">
      <c r="A860" s="461"/>
      <c r="B860" s="307" t="s">
        <v>656</v>
      </c>
      <c r="C860" s="301">
        <v>109</v>
      </c>
      <c r="D860" s="308">
        <v>2763</v>
      </c>
      <c r="E860" s="301">
        <v>5000</v>
      </c>
      <c r="F860" s="308" t="s">
        <v>654</v>
      </c>
      <c r="G860" s="303">
        <v>2238</v>
      </c>
      <c r="H860" s="308">
        <v>2238</v>
      </c>
      <c r="I860" s="304">
        <v>100000</v>
      </c>
      <c r="J860" s="309">
        <v>223800000</v>
      </c>
      <c r="K860" s="306">
        <f t="shared" si="4"/>
        <v>4.9356033874382498E-2</v>
      </c>
    </row>
    <row r="861" spans="1:11">
      <c r="A861" s="461"/>
      <c r="B861" s="307" t="s">
        <v>674</v>
      </c>
      <c r="C861" s="301">
        <v>110</v>
      </c>
      <c r="D861" s="308">
        <v>1</v>
      </c>
      <c r="E861" s="301">
        <v>170</v>
      </c>
      <c r="F861" s="308" t="s">
        <v>654</v>
      </c>
      <c r="G861" s="303">
        <v>170</v>
      </c>
      <c r="H861" s="308">
        <v>170</v>
      </c>
      <c r="I861" s="304">
        <v>100000</v>
      </c>
      <c r="J861" s="309">
        <v>17000000</v>
      </c>
      <c r="K861" s="306">
        <f t="shared" si="4"/>
        <v>3.749117854622442E-3</v>
      </c>
    </row>
    <row r="862" spans="1:11" ht="14.25" customHeight="1">
      <c r="A862" s="344" t="s">
        <v>719</v>
      </c>
      <c r="B862" s="345" t="s">
        <v>685</v>
      </c>
      <c r="C862" s="310">
        <v>1</v>
      </c>
      <c r="D862" s="346">
        <v>1</v>
      </c>
      <c r="E862" s="347">
        <v>3068</v>
      </c>
      <c r="F862" s="302" t="s">
        <v>720</v>
      </c>
      <c r="G862" s="348">
        <f>E862+D862-1</f>
        <v>3068</v>
      </c>
      <c r="H862" s="349">
        <v>0</v>
      </c>
      <c r="I862" s="350">
        <v>100000</v>
      </c>
      <c r="J862" s="351">
        <f>I862*G862</f>
        <v>306800000</v>
      </c>
      <c r="K862" s="306">
        <f t="shared" si="4"/>
        <v>6.7660550458715593E-2</v>
      </c>
    </row>
    <row r="863" spans="1:11">
      <c r="A863" s="352" t="s">
        <v>721</v>
      </c>
      <c r="B863" s="345" t="s">
        <v>685</v>
      </c>
      <c r="C863" s="310">
        <v>2</v>
      </c>
      <c r="D863" s="346">
        <v>3069</v>
      </c>
      <c r="E863" s="347">
        <v>5132</v>
      </c>
      <c r="F863" s="302" t="s">
        <v>720</v>
      </c>
      <c r="G863" s="353">
        <f>+E863-D863+1</f>
        <v>2064</v>
      </c>
      <c r="H863" s="349">
        <v>0</v>
      </c>
      <c r="I863" s="312">
        <v>100000</v>
      </c>
      <c r="J863" s="305">
        <f t="shared" ref="J863:J877" si="5">I863*G863</f>
        <v>206400000</v>
      </c>
      <c r="K863" s="306">
        <f t="shared" si="4"/>
        <v>4.5518701482004237E-2</v>
      </c>
    </row>
    <row r="864" spans="1:11">
      <c r="A864" s="354"/>
      <c r="B864" s="355" t="s">
        <v>666</v>
      </c>
      <c r="C864" s="301">
        <v>15</v>
      </c>
      <c r="D864" s="356">
        <v>627</v>
      </c>
      <c r="E864">
        <v>904</v>
      </c>
      <c r="F864" s="308" t="s">
        <v>720</v>
      </c>
      <c r="G864" s="303">
        <f>+E864-D864+1</f>
        <v>278</v>
      </c>
      <c r="H864" s="357">
        <v>0</v>
      </c>
      <c r="I864" s="304">
        <v>100000</v>
      </c>
      <c r="J864" s="309">
        <f>I864*G864</f>
        <v>27800000</v>
      </c>
      <c r="K864" s="306">
        <f t="shared" si="4"/>
        <v>6.1309103740296404E-3</v>
      </c>
    </row>
    <row r="865" spans="1:11">
      <c r="A865" s="352" t="s">
        <v>394</v>
      </c>
      <c r="B865" s="358" t="s">
        <v>685</v>
      </c>
      <c r="C865" s="302">
        <v>3</v>
      </c>
      <c r="D865" s="347">
        <v>5133</v>
      </c>
      <c r="E865" s="346">
        <v>6132</v>
      </c>
      <c r="F865" s="310" t="s">
        <v>720</v>
      </c>
      <c r="G865" s="359">
        <f t="shared" ref="G865:G877" si="6">+E865-D865+1</f>
        <v>1000</v>
      </c>
      <c r="H865" s="360">
        <v>0</v>
      </c>
      <c r="I865" s="361">
        <v>100000</v>
      </c>
      <c r="J865" s="362">
        <f t="shared" si="5"/>
        <v>100000000</v>
      </c>
      <c r="K865" s="306">
        <f t="shared" si="4"/>
        <v>2.2053634438955541E-2</v>
      </c>
    </row>
    <row r="866" spans="1:11">
      <c r="A866" s="354"/>
      <c r="B866" s="363" t="s">
        <v>653</v>
      </c>
      <c r="C866" s="308">
        <v>11</v>
      </c>
      <c r="D866">
        <v>9862</v>
      </c>
      <c r="E866" s="356">
        <v>10000</v>
      </c>
      <c r="F866" s="301" t="s">
        <v>720</v>
      </c>
      <c r="G866" s="364">
        <f>+E866-D866+1</f>
        <v>139</v>
      </c>
      <c r="H866" s="266">
        <v>0</v>
      </c>
      <c r="I866" s="365">
        <v>100000</v>
      </c>
      <c r="J866" s="366">
        <f>I866*G866</f>
        <v>13900000</v>
      </c>
      <c r="K866" s="306">
        <f t="shared" si="4"/>
        <v>3.0654551870148202E-3</v>
      </c>
    </row>
    <row r="867" spans="1:11">
      <c r="A867" s="354"/>
      <c r="B867" s="363" t="s">
        <v>666</v>
      </c>
      <c r="C867" s="308">
        <v>12</v>
      </c>
      <c r="D867">
        <v>1</v>
      </c>
      <c r="E867" s="356">
        <v>1</v>
      </c>
      <c r="F867" s="301" t="s">
        <v>720</v>
      </c>
      <c r="G867" s="364">
        <f>+E867-D867+1</f>
        <v>1</v>
      </c>
      <c r="H867" s="266">
        <v>0</v>
      </c>
      <c r="I867" s="365">
        <v>100000</v>
      </c>
      <c r="J867" s="366">
        <f>I867*G867</f>
        <v>100000</v>
      </c>
      <c r="K867" s="306">
        <f t="shared" si="4"/>
        <v>2.2053634438955541E-5</v>
      </c>
    </row>
    <row r="868" spans="1:11" ht="17.25" customHeight="1">
      <c r="A868" s="352" t="s">
        <v>722</v>
      </c>
      <c r="B868" s="358" t="s">
        <v>685</v>
      </c>
      <c r="C868" s="302">
        <v>4</v>
      </c>
      <c r="D868" s="347">
        <v>6133</v>
      </c>
      <c r="E868" s="346">
        <v>8692</v>
      </c>
      <c r="F868" s="310" t="s">
        <v>720</v>
      </c>
      <c r="G868" s="359">
        <f t="shared" si="6"/>
        <v>2560</v>
      </c>
      <c r="H868" s="360">
        <v>0</v>
      </c>
      <c r="I868" s="361">
        <v>100000</v>
      </c>
      <c r="J868" s="362">
        <f t="shared" si="5"/>
        <v>256000000</v>
      </c>
      <c r="K868" s="306">
        <f t="shared" si="4"/>
        <v>5.6457304163726185E-2</v>
      </c>
    </row>
    <row r="869" spans="1:11" ht="17.25" customHeight="1">
      <c r="A869" s="354"/>
      <c r="B869" s="363" t="s">
        <v>666</v>
      </c>
      <c r="C869" s="308">
        <v>13</v>
      </c>
      <c r="D869">
        <v>2</v>
      </c>
      <c r="E869" s="356">
        <v>346</v>
      </c>
      <c r="F869" s="301" t="s">
        <v>720</v>
      </c>
      <c r="G869" s="364">
        <f>+E869-D869+1</f>
        <v>345</v>
      </c>
      <c r="H869" s="266">
        <v>0</v>
      </c>
      <c r="I869" s="365">
        <v>100000</v>
      </c>
      <c r="J869" s="366">
        <f>I869*G869</f>
        <v>34500000</v>
      </c>
      <c r="K869" s="306">
        <f t="shared" si="4"/>
        <v>7.6085038814396617E-3</v>
      </c>
    </row>
    <row r="870" spans="1:11" ht="13.5" customHeight="1">
      <c r="A870" s="352" t="s">
        <v>566</v>
      </c>
      <c r="B870" s="345" t="s">
        <v>685</v>
      </c>
      <c r="C870" s="310">
        <v>5</v>
      </c>
      <c r="D870" s="346">
        <v>8693</v>
      </c>
      <c r="E870" s="347">
        <v>10000</v>
      </c>
      <c r="F870" s="302" t="s">
        <v>720</v>
      </c>
      <c r="G870" s="353">
        <f t="shared" si="6"/>
        <v>1308</v>
      </c>
      <c r="H870" s="349">
        <v>0</v>
      </c>
      <c r="I870" s="312">
        <v>100000</v>
      </c>
      <c r="J870" s="305">
        <f t="shared" si="5"/>
        <v>130800000</v>
      </c>
      <c r="K870" s="306">
        <f t="shared" si="4"/>
        <v>2.8846153846153848E-2</v>
      </c>
    </row>
    <row r="871" spans="1:11" ht="19.5" customHeight="1">
      <c r="A871" s="354"/>
      <c r="B871" s="355" t="s">
        <v>653</v>
      </c>
      <c r="C871" s="301">
        <v>6</v>
      </c>
      <c r="D871" s="356">
        <v>1</v>
      </c>
      <c r="E871">
        <v>778</v>
      </c>
      <c r="F871" s="308" t="s">
        <v>720</v>
      </c>
      <c r="G871" s="367">
        <f t="shared" si="6"/>
        <v>778</v>
      </c>
      <c r="H871" s="357">
        <v>0</v>
      </c>
      <c r="I871" s="304">
        <v>100000</v>
      </c>
      <c r="J871" s="309">
        <f t="shared" si="5"/>
        <v>77800000</v>
      </c>
      <c r="K871" s="306">
        <f t="shared" ref="K871:K877" si="7">J871/$D$736</f>
        <v>1.7157727593507411E-2</v>
      </c>
    </row>
    <row r="872" spans="1:11" ht="19.5" customHeight="1">
      <c r="A872" s="368"/>
      <c r="B872" s="369" t="s">
        <v>666</v>
      </c>
      <c r="C872" s="314">
        <v>14</v>
      </c>
      <c r="D872" s="370">
        <v>347</v>
      </c>
      <c r="E872" s="371">
        <v>626</v>
      </c>
      <c r="F872" s="315" t="s">
        <v>720</v>
      </c>
      <c r="G872" s="316">
        <f>+E872-D872+1</f>
        <v>280</v>
      </c>
      <c r="H872" s="372">
        <v>0</v>
      </c>
      <c r="I872" s="317">
        <v>100000</v>
      </c>
      <c r="J872" s="318">
        <f>I872*G872</f>
        <v>28000000</v>
      </c>
      <c r="K872" s="306">
        <f t="shared" si="7"/>
        <v>6.1750176429075515E-3</v>
      </c>
    </row>
    <row r="873" spans="1:11" ht="18" customHeight="1">
      <c r="A873" s="373" t="s">
        <v>723</v>
      </c>
      <c r="B873" s="355" t="s">
        <v>653</v>
      </c>
      <c r="C873" s="308">
        <v>7</v>
      </c>
      <c r="D873" s="356">
        <v>779</v>
      </c>
      <c r="E873" s="356">
        <v>1778</v>
      </c>
      <c r="F873" s="308" t="s">
        <v>720</v>
      </c>
      <c r="G873" s="374">
        <f t="shared" si="6"/>
        <v>1000</v>
      </c>
      <c r="H873" s="357">
        <v>0</v>
      </c>
      <c r="I873" s="365">
        <v>100000</v>
      </c>
      <c r="J873" s="375">
        <f t="shared" si="5"/>
        <v>100000000</v>
      </c>
      <c r="K873" s="306">
        <f t="shared" si="7"/>
        <v>2.2053634438955541E-2</v>
      </c>
    </row>
    <row r="874" spans="1:11" ht="18.75" customHeight="1">
      <c r="A874" s="376" t="s">
        <v>724</v>
      </c>
      <c r="B874" s="345" t="s">
        <v>653</v>
      </c>
      <c r="C874" s="310">
        <v>8</v>
      </c>
      <c r="D874" s="346">
        <v>1779</v>
      </c>
      <c r="E874" s="347">
        <v>5588</v>
      </c>
      <c r="F874" s="302" t="s">
        <v>720</v>
      </c>
      <c r="G874" s="311">
        <f t="shared" si="6"/>
        <v>3810</v>
      </c>
      <c r="H874" s="349">
        <v>0</v>
      </c>
      <c r="I874" s="312">
        <v>100000</v>
      </c>
      <c r="J874" s="305">
        <f t="shared" si="5"/>
        <v>381000000</v>
      </c>
      <c r="K874" s="306">
        <f t="shared" si="7"/>
        <v>8.4024347212420608E-2</v>
      </c>
    </row>
    <row r="875" spans="1:11" ht="18.75" customHeight="1">
      <c r="A875" s="377"/>
      <c r="B875" s="355" t="s">
        <v>653</v>
      </c>
      <c r="C875" s="301">
        <v>10</v>
      </c>
      <c r="D875" s="356">
        <v>9632</v>
      </c>
      <c r="E875">
        <v>9861</v>
      </c>
      <c r="F875" s="308" t="s">
        <v>720</v>
      </c>
      <c r="G875" s="303">
        <f>+E875-D875+1</f>
        <v>230</v>
      </c>
      <c r="H875" s="357">
        <v>0</v>
      </c>
      <c r="I875" s="304">
        <v>100000</v>
      </c>
      <c r="J875" s="309">
        <f>I875*G875</f>
        <v>23000000</v>
      </c>
      <c r="K875" s="306">
        <f t="shared" si="7"/>
        <v>5.0723359209597745E-3</v>
      </c>
    </row>
    <row r="876" spans="1:11" ht="17.25" customHeight="1">
      <c r="A876" s="376" t="s">
        <v>725</v>
      </c>
      <c r="B876" s="345" t="s">
        <v>653</v>
      </c>
      <c r="C876" s="310">
        <v>9</v>
      </c>
      <c r="D876" s="346">
        <v>5589</v>
      </c>
      <c r="E876" s="347">
        <v>9401</v>
      </c>
      <c r="F876" s="302" t="s">
        <v>720</v>
      </c>
      <c r="G876" s="311">
        <f t="shared" si="6"/>
        <v>3813</v>
      </c>
      <c r="H876" s="349">
        <v>0</v>
      </c>
      <c r="I876" s="312">
        <v>100000</v>
      </c>
      <c r="J876" s="351">
        <f t="shared" si="5"/>
        <v>381300000</v>
      </c>
      <c r="K876" s="306">
        <f t="shared" si="7"/>
        <v>8.409050811573747E-2</v>
      </c>
    </row>
    <row r="877" spans="1:11" ht="17.25" customHeight="1">
      <c r="A877" s="378"/>
      <c r="B877" s="369" t="s">
        <v>653</v>
      </c>
      <c r="C877" s="314">
        <v>9</v>
      </c>
      <c r="D877" s="370">
        <v>9402</v>
      </c>
      <c r="E877" s="371">
        <v>9631</v>
      </c>
      <c r="F877" s="315" t="s">
        <v>720</v>
      </c>
      <c r="G877" s="316">
        <f t="shared" si="6"/>
        <v>230</v>
      </c>
      <c r="H877" s="372">
        <v>0</v>
      </c>
      <c r="I877" s="317">
        <v>100000</v>
      </c>
      <c r="J877" s="379">
        <f t="shared" si="5"/>
        <v>23000000</v>
      </c>
      <c r="K877" s="306">
        <f t="shared" si="7"/>
        <v>5.0723359209597745E-3</v>
      </c>
    </row>
    <row r="878" spans="1:11">
      <c r="A878" s="415" t="s">
        <v>726</v>
      </c>
      <c r="B878" s="416"/>
      <c r="C878" s="416"/>
      <c r="D878" s="416"/>
      <c r="E878" s="416"/>
      <c r="F878" s="417"/>
      <c r="G878" s="380">
        <f>SUM(G742:G877)</f>
        <v>45344</v>
      </c>
      <c r="H878" s="381">
        <f>SUM(H742:H877)</f>
        <v>24440</v>
      </c>
      <c r="I878" s="333"/>
      <c r="J878" s="380">
        <f>SUM(J742:J877)</f>
        <v>4534400000</v>
      </c>
      <c r="K878" s="382">
        <f>SUM(K742:K877)</f>
        <v>0.99999999999999956</v>
      </c>
    </row>
    <row r="879" spans="1:11">
      <c r="A879"/>
      <c r="J879" s="219"/>
    </row>
    <row r="880" spans="1:11">
      <c r="A880" s="334" t="s">
        <v>727</v>
      </c>
      <c r="B880" s="335" t="s">
        <v>0</v>
      </c>
      <c r="C880" s="335" t="s">
        <v>728</v>
      </c>
    </row>
    <row r="881" spans="1:10">
      <c r="A881" s="336" t="s">
        <v>729</v>
      </c>
      <c r="B881" s="337">
        <f>22873+1567</f>
        <v>24440</v>
      </c>
      <c r="C881" s="338">
        <f>B881/B883</f>
        <v>0.53899082568807344</v>
      </c>
      <c r="J881" s="219"/>
    </row>
    <row r="882" spans="1:10">
      <c r="A882" s="336" t="s">
        <v>730</v>
      </c>
      <c r="B882" s="339">
        <f>G878-B881</f>
        <v>20904</v>
      </c>
      <c r="C882" s="340">
        <f>B882/B883</f>
        <v>0.46100917431192662</v>
      </c>
      <c r="E882" s="219"/>
      <c r="J882" s="241"/>
    </row>
    <row r="883" spans="1:10">
      <c r="A883" s="341" t="s">
        <v>199</v>
      </c>
      <c r="B883" s="342">
        <f>SUM(B881:B882)</f>
        <v>45344</v>
      </c>
      <c r="C883" s="343">
        <v>0.99999999999999956</v>
      </c>
      <c r="J883" s="219"/>
    </row>
    <row r="884" spans="1:10">
      <c r="A884"/>
      <c r="B884" s="219"/>
    </row>
    <row r="885" spans="1:10">
      <c r="A885"/>
    </row>
    <row r="886" spans="1:10">
      <c r="A886"/>
    </row>
    <row r="887" spans="1:10">
      <c r="A887"/>
    </row>
  </sheetData>
  <sortState xmlns:xlrd2="http://schemas.microsoft.com/office/spreadsheetml/2017/richdata2" ref="B390:D400">
    <sortCondition ref="B390:B400"/>
  </sortState>
  <mergeCells count="149">
    <mergeCell ref="A756:A764"/>
    <mergeCell ref="A765:A772"/>
    <mergeCell ref="A773:A778"/>
    <mergeCell ref="A779:A782"/>
    <mergeCell ref="A783:A791"/>
    <mergeCell ref="A792:A799"/>
    <mergeCell ref="A800:A807"/>
    <mergeCell ref="A808:A815"/>
    <mergeCell ref="A817:A861"/>
    <mergeCell ref="A742:A744"/>
    <mergeCell ref="A745:A751"/>
    <mergeCell ref="A752:A755"/>
    <mergeCell ref="A726:B726"/>
    <mergeCell ref="A723:B723"/>
    <mergeCell ref="C723:G723"/>
    <mergeCell ref="A724:B724"/>
    <mergeCell ref="C724:G724"/>
    <mergeCell ref="A725:B725"/>
    <mergeCell ref="C725:G725"/>
    <mergeCell ref="B731:J734"/>
    <mergeCell ref="B735:C735"/>
    <mergeCell ref="B736:C736"/>
    <mergeCell ref="B737:C737"/>
    <mergeCell ref="B738:C738"/>
    <mergeCell ref="A716:B716"/>
    <mergeCell ref="A717:B717"/>
    <mergeCell ref="A721:B721"/>
    <mergeCell ref="C721:G721"/>
    <mergeCell ref="A722:B722"/>
    <mergeCell ref="C722:G722"/>
    <mergeCell ref="A708:B708"/>
    <mergeCell ref="A709:B709"/>
    <mergeCell ref="A713:B713"/>
    <mergeCell ref="A714:B714"/>
    <mergeCell ref="A715:B715"/>
    <mergeCell ref="A687:I690"/>
    <mergeCell ref="B691:H691"/>
    <mergeCell ref="A694:B694"/>
    <mergeCell ref="A695:C695"/>
    <mergeCell ref="A705:B705"/>
    <mergeCell ref="A706:B706"/>
    <mergeCell ref="C706:H706"/>
    <mergeCell ref="A707:B707"/>
    <mergeCell ref="C707:H707"/>
    <mergeCell ref="A699:B699"/>
    <mergeCell ref="A700:B700"/>
    <mergeCell ref="A702:B702"/>
    <mergeCell ref="C702:G702"/>
    <mergeCell ref="A703:B703"/>
    <mergeCell ref="C703:G703"/>
    <mergeCell ref="I56:I58"/>
    <mergeCell ref="H56:H58"/>
    <mergeCell ref="G56:G58"/>
    <mergeCell ref="G105:I105"/>
    <mergeCell ref="D106:D107"/>
    <mergeCell ref="E106:E107"/>
    <mergeCell ref="B111:D111"/>
    <mergeCell ref="B112:D112"/>
    <mergeCell ref="B115:F115"/>
    <mergeCell ref="B45:E45"/>
    <mergeCell ref="B47:B48"/>
    <mergeCell ref="E56:E58"/>
    <mergeCell ref="F56:F58"/>
    <mergeCell ref="C56:C58"/>
    <mergeCell ref="D56:D58"/>
    <mergeCell ref="B56:B58"/>
    <mergeCell ref="B69:C69"/>
    <mergeCell ref="B54:C54"/>
    <mergeCell ref="M255:M257"/>
    <mergeCell ref="B192:B193"/>
    <mergeCell ref="C192:C193"/>
    <mergeCell ref="D192:D193"/>
    <mergeCell ref="L255:L257"/>
    <mergeCell ref="H254:M254"/>
    <mergeCell ref="C255:C257"/>
    <mergeCell ref="D255:D257"/>
    <mergeCell ref="E255:E257"/>
    <mergeCell ref="J255:J257"/>
    <mergeCell ref="K255:K257"/>
    <mergeCell ref="B207:B208"/>
    <mergeCell ref="C207:C208"/>
    <mergeCell ref="D207:D208"/>
    <mergeCell ref="F255:F257"/>
    <mergeCell ref="G255:G257"/>
    <mergeCell ref="C254:G254"/>
    <mergeCell ref="H255:H257"/>
    <mergeCell ref="I255:I257"/>
    <mergeCell ref="C199:C200"/>
    <mergeCell ref="D199:D200"/>
    <mergeCell ref="B191:C191"/>
    <mergeCell ref="B267:B268"/>
    <mergeCell ref="C267:C268"/>
    <mergeCell ref="D267:D268"/>
    <mergeCell ref="B105:F105"/>
    <mergeCell ref="B254:B257"/>
    <mergeCell ref="B199:B200"/>
    <mergeCell ref="B81:E81"/>
    <mergeCell ref="B83:B84"/>
    <mergeCell ref="C83:C84"/>
    <mergeCell ref="D83:D84"/>
    <mergeCell ref="B103:D103"/>
    <mergeCell ref="B189:F189"/>
    <mergeCell ref="B337:E337"/>
    <mergeCell ref="B279:B280"/>
    <mergeCell ref="B286:F286"/>
    <mergeCell ref="B288:E288"/>
    <mergeCell ref="B312:D312"/>
    <mergeCell ref="B336:D336"/>
    <mergeCell ref="B304:E304"/>
    <mergeCell ref="B434:F434"/>
    <mergeCell ref="B442:F442"/>
    <mergeCell ref="B407:E407"/>
    <mergeCell ref="B374:E374"/>
    <mergeCell ref="B381:D381"/>
    <mergeCell ref="B405:C405"/>
    <mergeCell ref="B423:D423"/>
    <mergeCell ref="B538:B539"/>
    <mergeCell ref="B556:B557"/>
    <mergeCell ref="B457:E457"/>
    <mergeCell ref="B459:F459"/>
    <mergeCell ref="B472:F472"/>
    <mergeCell ref="B483:B484"/>
    <mergeCell ref="B509:B510"/>
    <mergeCell ref="B474:B475"/>
    <mergeCell ref="B523:B524"/>
    <mergeCell ref="A878:F878"/>
    <mergeCell ref="B583:F583"/>
    <mergeCell ref="B584:F584"/>
    <mergeCell ref="B608:F608"/>
    <mergeCell ref="B650:D650"/>
    <mergeCell ref="B636:D636"/>
    <mergeCell ref="B630:D630"/>
    <mergeCell ref="B631:D631"/>
    <mergeCell ref="B632:D632"/>
    <mergeCell ref="B634:D634"/>
    <mergeCell ref="B635:C635"/>
    <mergeCell ref="B638:C638"/>
    <mergeCell ref="A666:I666"/>
    <mergeCell ref="A667:I667"/>
    <mergeCell ref="A683:I683"/>
    <mergeCell ref="A684:I684"/>
    <mergeCell ref="A685:I685"/>
    <mergeCell ref="A696:B696"/>
    <mergeCell ref="C696:H696"/>
    <mergeCell ref="A697:B697"/>
    <mergeCell ref="C697:H697"/>
    <mergeCell ref="A698:B698"/>
    <mergeCell ref="C698:H698"/>
    <mergeCell ref="A686:I686"/>
  </mergeCells>
  <conditionalFormatting sqref="B223:B230">
    <cfRule type="duplicateValues" dxfId="11" priority="12"/>
  </conditionalFormatting>
  <conditionalFormatting sqref="B231">
    <cfRule type="duplicateValues" dxfId="10" priority="11"/>
  </conditionalFormatting>
  <conditionalFormatting sqref="B232">
    <cfRule type="duplicateValues" dxfId="9" priority="10"/>
  </conditionalFormatting>
  <conditionalFormatting sqref="B343">
    <cfRule type="duplicateValues" dxfId="8" priority="4"/>
    <cfRule type="duplicateValues" dxfId="7" priority="5"/>
  </conditionalFormatting>
  <conditionalFormatting sqref="B345">
    <cfRule type="duplicateValues" dxfId="6" priority="6"/>
    <cfRule type="duplicateValues" dxfId="5" priority="7"/>
  </conditionalFormatting>
  <conditionalFormatting sqref="B347">
    <cfRule type="duplicateValues" dxfId="4" priority="1"/>
    <cfRule type="duplicateValues" dxfId="3" priority="2"/>
    <cfRule type="duplicateValues" dxfId="2" priority="3"/>
  </conditionalFormatting>
  <conditionalFormatting sqref="B348:B363 B339:B342 B346 B344">
    <cfRule type="duplicateValues" dxfId="1" priority="17"/>
    <cfRule type="duplicateValues" dxfId="0" priority="18"/>
  </conditionalFormatting>
  <pageMargins left="0.70866141732283472" right="0.70866141732283472" top="1.3385826771653544" bottom="0.74803149606299213" header="0.31496062992125984" footer="0.31496062992125984"/>
  <pageSetup paperSize="9" scale="64"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nAkG5WJWPitJdQsB9mdrJJZzp2jn1ZqnlesiLYV8PxNAETF9XNPjBlLtFfcBRAB/2Dx5uoYTOVj4
Bmv0REfb5A==</DigestValue>
    </Reference>
    <Reference Type="http://www.w3.org/2000/09/xmldsig#Object" URI="#idOfficeObject">
      <DigestMethod Algorithm="http://www.w3.org/2001/04/xmlenc#sha512"/>
      <DigestValue>te5XqjzfPj7WSLefCAyor0tzFbxckYMRbc2b1opQ4Xbl8I9qpt94W4AFkBH2C27BJT8KSDSU1ahX
C+in1xSf4g==</DigestValue>
    </Reference>
    <Reference Type="http://uri.etsi.org/01903#SignedProperties" URI="#idSignedProperties">
      <Transforms>
        <Transform Algorithm="http://www.w3.org/TR/2001/REC-xml-c14n-20010315"/>
      </Transforms>
      <DigestMethod Algorithm="http://www.w3.org/2001/04/xmlenc#sha512"/>
      <DigestValue>Lf5i1QQVWmUjVWg9hA/UpyvExHoqCa9E1bxArq6DOVMIvUeJW+mTjWEP/XpJkpxEyZQZ1eRW+5/B
A3o83UC+gA==</DigestValue>
    </Reference>
  </SignedInfo>
  <SignatureValue>AV/3ZpJ0/3ulsawEqvbe6YZ2N20vQ3m7MdUzwjXBIQi2W4/8YbmP+nBKhXNY6mMH7mhbl2QrBEWu
tGb+z5klCiS3kqYZm6k2wYI6oPF3toVyHldTxUxRBLd6VUE94tr4FqsAujs2zw/YQksQsrWp57ii
hNlSY+lUkUEQjPZIgcr/oaaDA8q6+ooFg9+bp1TGiERHiMBwtX+pM6kAFcBCMQwiQPNUNDYBD09W
OYLlk8Shpdv+pHo91QwPORU4pZW9KvF8NiEvs/PCSLYHnTJMWChdzfQWjw8AC093tErBB75ho0pd
mG66o0ZdtR5ZkbLZEzi2jAqE7b8opCLxsNZrIQ==</SignatureValue>
  <KeyInfo>
    <X509Data>
      <X509Certificate>MIIHsTCCBZmgAwIBAgIRALdH/HPljRavSIzJ3ZDz64owDQYJKoZIhvcNAQENBQAwgYUxCzAJBgNVBAYTAlBZMQ0wCwYDVQQKEwRJQ1BQMTgwNgYDVQQLEy9QcmVzdGFkb3IgQ3VhbGlmaWNhZG8gZGUgU2VydmljaW9zIGRlIENvbmZpYW56YTEVMBMGA1UEAxMMQ09ERTEwMCBTLkEuMRYwFAYDVQQFEw1SVUM4MDA4MDYxMC03MB4XDTI1MDcyMjExMzIxOFoXDTI3MDcyMjExMzIxOFowgcMxCzAJBgNVBAYTAlBZMTYwNAYDVQQKDC1DRVJUSUZJQ0FETyBDVUFMSUZJQ0FETyBERSBGSVJNQSBFTEVDVFLDk05JQ0ExCzAJBgNVBAsTAkYyMRwwGgYDVQQEExNCVVNUTyBERSBBUlpBTUVORElBMRQwEgYDVQQqEwtET1JBIElTQUJFTDEoMCYGA1UEAxMfRE9SQSBJU0FCRUwgQlVTVE8gREUgQVJaQU1FTkRJQTERMA8GA1UEBRMIQ0k2OTA3ODEwggEiMA0GCSqGSIb3DQEBAQUAA4IBDwAwggEKAoIBAQCwgJkHgTkASU1JPOcQYqGFL1oy/VYAyKp6rCiOxiU8hfEbUK65hkJm6PPbr7PdN/9W1WY/WZxvn8jfC0gOxDkNfny2yFgLHiepx8tR8peOSh7dVWtDfWgdpetvb29wzaOI4aQ5uAt1wSzZn4D/SM9bCcBR2d96+2MzG/LGk0Qjof4TldmaPe0wQSyNAQ+4s7LT+GPW/HN5AOkMN/qa0v8U9yTwTECKzbrT8tuwxvGsr92Xu3Y61VlIsc9d+6+FVfeB2tVBgRigffWYHflzEAxEiCcAEhkQxkPZ6NwztmL1A4pntdPkJJf59pJir7MksAu7tnC1O6cXV39RoXAAbuG9AgMBAAGjggLaMIIC1jAMBgNVHRMBAf8EAjAAMB0GA1UdDgQWBBRsgz1/nxTwA7+2vVNE+Or6iVxc5TAfBgNVHSMEGDAWgBS+NVRiaGDnJtMxwV+XseL2ZM4H9TAOBgNVHQ8BAf8EBAMCBeAwUQYDVR0RBEowSIEZRE9SQS5BUlpBTUVORElB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fZ1FHAuqFT7eybFKGtxTv2t7SBOqzM/Jrfnji79/Toud9+q3QhBiD6dILXNPMQq8OUEc+4F9Tmme4geswuI9icU/4rCDHDluTr7pdoABusHmRK4ItkCM8ha5lQIO5XZb1+ehPCzhT9Re8cxvQzTfxn87SJKZFbf5oXJoRPQyFCjWdLs8QJacvapdC29dqYvv+5q3STgmF5tL0rbh6KVsM83gHqiYXRov1NhohVSb22gjEXiJqZOWw+uGEsX7QE1lvYeecqRUqanTbo0eV9NF4iAjOluZOvWWxeUubykr6oB8FHbeAdh8SFDaVySfwXJ8yBSmXd98/1b6a0ltj3NkisgAuuqLbiFI6Kd2EFlz5C01n3Mb4sDbE5LFi43uQduh7xVd6xbNuIXMzQby+uS8EoyjVf7NwgxWyrpOtUJwZ7rMx27bkZ0Bb2nxjcujP4d52Vp75N3wHZla94r/7j4FydVnE5wrQAIVcOuv2VvpUZPjV8zZabn0lsFcIpJO+WyIWBmmKDesMxo/9IN4PW7RBEYieaEl9LFqasMODq0kWHNVNoCriOzhKhhhnG5zXOuYfGHsznP09G+3W4zdVGg8xw4f+TjddLktMyTELaWedS3SSDl++s8njgjaR9DGTlmxNPEf6WGv4p4lVXkIqOaXvGFiaWN8e44ut+KqxGtWxO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512"/>
        <DigestValue>T77jB9b6dpSVvYotETuFyrQ0gl7i8YeX5acyy9a9DPaI5YBvqsiFsu/VRFxCEKwgPihhl1iN6KcljmaE5M5B/A==</DigestValue>
      </Reference>
      <Reference URI="/xl/calcChain.xml?ContentType=application/vnd.openxmlformats-officedocument.spreadsheetml.calcChain+xml">
        <DigestMethod Algorithm="http://www.w3.org/2001/04/xmlenc#sha512"/>
        <DigestValue>x90gkzLwR7QxieYyDi860mVukYQQSPwrduNU8jtI3crpaoG7OfHH56RWRzgfYcAsnauXLTvZ/0+3UztoQmpK4A==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H80z78lftni+1SJRJaqwjGCeGOQGTnZCm6hXslWuMyx2+LRoEv/ELQFhJkdNya6YdI/sNmXtYaMyN1GXx8L1YQ==</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H80z78lftni+1SJRJaqwjGCeGOQGTnZCm6hXslWuMyx2+LRoEv/ELQFhJkdNya6YdI/sNmXtYaMyN1GXx8L1YQ==</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H80z78lftni+1SJRJaqwjGCeGOQGTnZCm6hXslWuMyx2+LRoEv/ELQFhJkdNya6YdI/sNmXtYaMyN1GXx8L1YQ==</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H80z78lftni+1SJRJaqwjGCeGOQGTnZCm6hXslWuMyx2+LRoEv/ELQFhJkdNya6YdI/sNmXtYaMyN1GXx8L1YQ==</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rRRaXaQHOcXXfJ4UHE3i6bbNQ/kklThflEEKODz7trpT5lK0pJ58BBoJH03lTwtpxyKw2ySl1QOIZo9oyuZj8Q==</DigestValue>
      </Reference>
      <Reference URI="/xl/drawings/drawing1.xml?ContentType=application/vnd.openxmlformats-officedocument.drawing+xml">
        <DigestMethod Algorithm="http://www.w3.org/2001/04/xmlenc#sha512"/>
        <DigestValue>mk/1fe8SwRJG2EXKq0fUMIfPAl3FS6xRuaVrZ/IH3jxIJmoWCTcO5cG9PgoJgfpLP4oafRobtvMafPJH8yIOjA==</DigestValue>
      </Reference>
      <Reference URI="/xl/drawings/drawing2.xml?ContentType=application/vnd.openxmlformats-officedocument.drawing+xml">
        <DigestMethod Algorithm="http://www.w3.org/2001/04/xmlenc#sha512"/>
        <DigestValue>waE9MMC33gfzW9I6AVHHrUawXgqU4dSefz2vFZezPphkFRTp64BRkZiTkdzzln6N1SgDYbMR18DgH5gD0wrk3A==</DigestValue>
      </Reference>
      <Reference URI="/xl/drawings/drawing3.xml?ContentType=application/vnd.openxmlformats-officedocument.drawing+xml">
        <DigestMethod Algorithm="http://www.w3.org/2001/04/xmlenc#sha512"/>
        <DigestValue>Fg5V6Hguifsy39kRacm8kXCQG4INAs79m0SoXbqXKnyiisTepRWUvW6JIVsp5XAkS59TG6DsOiFtxN8h7zcvEw==</DigestValue>
      </Reference>
      <Reference URI="/xl/drawings/drawing4.xml?ContentType=application/vnd.openxmlformats-officedocument.drawing+xml">
        <DigestMethod Algorithm="http://www.w3.org/2001/04/xmlenc#sha512"/>
        <DigestValue>gnykKUDf7QpDgPcQx++WlYUVfaMIbu1KZMeJXxwQuhxhd0kFLnwhyWZFXY2KsO9Wj281g7YqCF48W+T4E4eqiw==</DigestValue>
      </Reference>
      <Reference URI="/xl/drawings/drawing5.xml?ContentType=application/vnd.openxmlformats-officedocument.drawing+xml">
        <DigestMethod Algorithm="http://www.w3.org/2001/04/xmlenc#sha512"/>
        <DigestValue>En1rd/7JFg9ecYFgbIrG/zpiskw6kT7DC653x5FNBzuMsaJVABlBl1PWvlEbHWcIoJUGHw2ITCOcAWRl+Zo7fA==</DigestValue>
      </Reference>
      <Reference URI="/xl/drawings/drawing6.xml?ContentType=application/vnd.openxmlformats-officedocument.drawing+xml">
        <DigestMethod Algorithm="http://www.w3.org/2001/04/xmlenc#sha512"/>
        <DigestValue>1kEBOycpHbcGweMuIc/b7sfjrUUgQdua8rUItXKB3SpGnO18+dQfDXlC4EMvXdRf7kOhyQM1909qrWC1rSXqyw==</DigestValue>
      </Reference>
      <Reference URI="/xl/media/image1.png?ContentType=image/png">
        <DigestMethod Algorithm="http://www.w3.org/2001/04/xmlenc#sha512"/>
        <DigestValue>sGnGlaB3VK7Fhq86u6kcy/9OgajIuQHPQKbDinyEKSl5D4YPw9rUKi6SWqIKYBjts7kA/Gu4azKrYukz5mRb6A==</DigestValue>
      </Reference>
      <Reference URI="/xl/media/image2.jpeg?ContentType=image/jpeg">
        <DigestMethod Algorithm="http://www.w3.org/2001/04/xmlenc#sha512"/>
        <DigestValue>M1xkMiofYdUbjCi6B1K7aFIyfes8MDqY3otwg8dRifo19UZ3bbdCQNpRNCywv7r1wMij3O6d7laBMzqH22NMdw==</DigestValue>
      </Reference>
      <Reference URI="/xl/media/image3.jpeg?ContentType=image/jpeg">
        <DigestMethod Algorithm="http://www.w3.org/2001/04/xmlenc#sha512"/>
        <DigestValue>5YSKN6znWk7MJxooh0xt19yjaGSHvYHSUjK13mN3GuleowK5vKgFO7FS3CAimJFsEwp9iD2iepHqKrd5kFIu5g==</DigestValue>
      </Reference>
      <Reference URI="/xl/printerSettings/printerSettings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67laqE1rOv9Z8EPuTh+wmwJgop8TjqbxhOD0jOfEvCL529rlhXm4FfZIpOa54sBvvujSwiVh0/Lh3hm0aTQxuw==</DigestValue>
      </Reference>
      <Reference URI="/xl/printerSettings/printerSettings4.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5.bin?ContentType=application/vnd.openxmlformats-officedocument.spreadsheetml.printerSettings">
        <DigestMethod Algorithm="http://www.w3.org/2001/04/xmlenc#sha512"/>
        <DigestValue>3JA5iK7ymZeCz4WoVqqrPGQtffiv3z/oacJGIWd+NllfCxP4dKgNnLKwxjPi1304hRKvOF4KVwqbIwGz+RQ9FA==</DigestValue>
      </Reference>
      <Reference URI="/xl/printerSettings/printerSettings6.bin?ContentType=application/vnd.openxmlformats-officedocument.spreadsheetml.printerSettings">
        <DigestMethod Algorithm="http://www.w3.org/2001/04/xmlenc#sha512"/>
        <DigestValue>xqgyM31j9yLEKRfv0Tcwq74LL0DUYF46B8AXWwG6JjMc+8D24P0K8YAVa+imHubDUIm+Ll81w0DxDnF7KTmj1Q==</DigestValue>
      </Reference>
      <Reference URI="/xl/sharedStrings.xml?ContentType=application/vnd.openxmlformats-officedocument.spreadsheetml.sharedStrings+xml">
        <DigestMethod Algorithm="http://www.w3.org/2001/04/xmlenc#sha512"/>
        <DigestValue>6KFLTxayvTO+ezxrRabxNKizTqmlRp7RkgZS1NKSw2/PyeUHEXfcjGx19WpfHkVKjMcyftYMxtljgv2LXjxjxw==</DigestValue>
      </Reference>
      <Reference URI="/xl/styles.xml?ContentType=application/vnd.openxmlformats-officedocument.spreadsheetml.styles+xml">
        <DigestMethod Algorithm="http://www.w3.org/2001/04/xmlenc#sha512"/>
        <DigestValue>fxtrhRPx7Wx4dj8j2D3NV6HD0kNYRCxJnUWJs5cw/OC+5wZY8yi4ZCn4s4LFjdcjFidFLehHHSygJDaE1iAE3Q==</DigestValue>
      </Reference>
      <Reference URI="/xl/theme/theme1.xml?ContentType=application/vnd.openxmlformats-officedocument.theme+xml">
        <DigestMethod Algorithm="http://www.w3.org/2001/04/xmlenc#sha512"/>
        <DigestValue>4YX2YO+IwmgIeCECjAosqkC1WFa32CrS3Sh3aZEhxqcaHn9KH9PPnkmaIj0MdutZXGL72V/ex+TpWUL+O5V2kQ==</DigestValue>
      </Reference>
      <Reference URI="/xl/workbook.xml?ContentType=application/vnd.openxmlformats-officedocument.spreadsheetml.sheet.main+xml">
        <DigestMethod Algorithm="http://www.w3.org/2001/04/xmlenc#sha512"/>
        <DigestValue>aUGVScxmNa898KqMOsSRPeRzuL95KQwVRzovNMYzsbdG+2ddcPqtT7SyURxWjUumgRoUpyXK4pS93h+77R1heA==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xoXcPe1fboSSW3jC7V712yNxnIoMxn9134kCupKFdevFmuq9uKnYmiRxaZi6UUAs4VOi9PbWzGqSaIMWcVrCog==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StBMMv6042zn8aYzYlBFD1tGgc1gXdokmqhNxNh4+iou6GrZzknr0r31qbmj9NDqJhxktvLVFvxd9VpMfJCRbQ==</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pTK0TgV6No76Ed5ZWBIdc5NNoYOfFoT0egySNgk4zS8tEop4H5DvkEy97bV1yY+tI72jMCeYK6dtDurvwVM9FQ==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lZ5msMz1AoK2Vt5H9FUmkUPTZZL1OuceBOCBituW9asixhrWlTEyU9WY1H+63fGhYF6nf0lUzMU3qeq/UBev3Q==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qXwmG7jDYPTs2NYOhhvc+FaJ0ZVzuRPiy02nuJlny80cfpFwmo6fX5E2s707smGDHQoTIiIMaRPTAidFx0nXmQ==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WjedQXvVzweYoodOBIgc8ulAvdafzV9ONQz3UvfA9ItMd+yVcQsS1/TB3D+fGEai1wlmJ1WSLSj9ITDl07olcA==</DigestValue>
      </Reference>
      <Reference URI="/xl/worksheets/sheet1.xml?ContentType=application/vnd.openxmlformats-officedocument.spreadsheetml.worksheet+xml">
        <DigestMethod Algorithm="http://www.w3.org/2001/04/xmlenc#sha512"/>
        <DigestValue>KnsJ0ZTdbD6K+66FMwHKhxzy4VwZXvw/RbqPs8sG29xDyeExvlDlUAFLSnQzNAISrccbJS6dNb6Xtb8uhp3gVQ==</DigestValue>
      </Reference>
      <Reference URI="/xl/worksheets/sheet2.xml?ContentType=application/vnd.openxmlformats-officedocument.spreadsheetml.worksheet+xml">
        <DigestMethod Algorithm="http://www.w3.org/2001/04/xmlenc#sha512"/>
        <DigestValue>45fznMo9QZ3MxBZi22/athp4p1mg0a4SWjIDHOxX/oSTg26H6vRtdEg7nVfYJZ4ujEKSOEQ3LkJ+dZdXfywToQ==</DigestValue>
      </Reference>
      <Reference URI="/xl/worksheets/sheet3.xml?ContentType=application/vnd.openxmlformats-officedocument.spreadsheetml.worksheet+xml">
        <DigestMethod Algorithm="http://www.w3.org/2001/04/xmlenc#sha512"/>
        <DigestValue>yvJZ/WoytzJUnThVfmqshvK44cu+5/PRX9EmZ8GJveH8g5wAseqI6JHMiOSllQQ0LZ8AEvL6yW1xfI37P8teww==</DigestValue>
      </Reference>
      <Reference URI="/xl/worksheets/sheet4.xml?ContentType=application/vnd.openxmlformats-officedocument.spreadsheetml.worksheet+xml">
        <DigestMethod Algorithm="http://www.w3.org/2001/04/xmlenc#sha512"/>
        <DigestValue>ex2Aet7Hwojvgw18n7UKyBDYqPsSQmOJnWkXulcZo5MCToLjJ6knr+xs+8eq5JhRo83e5yC3bAJ2WdXJuxDWdQ==</DigestValue>
      </Reference>
      <Reference URI="/xl/worksheets/sheet5.xml?ContentType=application/vnd.openxmlformats-officedocument.spreadsheetml.worksheet+xml">
        <DigestMethod Algorithm="http://www.w3.org/2001/04/xmlenc#sha512"/>
        <DigestValue>XoxnaJYGu/blc8Y6NifU4o96Y62LPQ/tuP1/m0Gt7T/rknKpdX0vtnoqUL3vw0U/WBuidsQg75hzD+xC/Nr37w==</DigestValue>
      </Reference>
      <Reference URI="/xl/worksheets/sheet6.xml?ContentType=application/vnd.openxmlformats-officedocument.spreadsheetml.worksheet+xml">
        <DigestMethod Algorithm="http://www.w3.org/2001/04/xmlenc#sha512"/>
        <DigestValue>dRk6guiBKtpselKNfUry7BowHI4gaxgTb8gz/J2rr+/mMkoWShj6FZPx1ii/LOTzOxqr6cG0Qus98VEmxe4/zg==</DigestValue>
      </Reference>
    </Manifest>
    <SignatureProperties>
      <SignatureProperty Id="idSignatureTime" Target="#idPackageSignature">
        <mdssi:SignatureTime xmlns:mdssi="http://schemas.openxmlformats.org/package/2006/digital-signature">
          <mdssi:Format>YYYY-MM-DDThh:mm:ssTZD</mdssi:Format>
          <mdssi:Value>2026-03-31T13:29:02Z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16.0.19822/27</OfficeVersion>
          <ApplicationVersion>16.0.19822</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2026-03-31T13:29:02Z</xd:SigningTime>
          <xd:SigningCertificate>
            <xd:Cert>
              <xd:CertDigest>
                <DigestMethod Algorithm="http://www.w3.org/2001/04/xmlenc#sha512"/>
                <DigestValue>KsbzTr6KF7s7y7Vyw+YeawJ7gAhXpeq3Mb58V1SEhIfUegJ0nui/xFq1gZSGp0/czwWrw6RRMbt+jSW29GOl6Q==</DigestValue>
              </xd:CertDigest>
              <xd:IssuerSerial>
                <X509IssuerName>SERIALNUMBER=RUC80080610-7, CN=CODE100 S.A., OU=Prestador Cualificado de Servicios de Confianza, O=ICPP, C=PY</X509IssuerName>
                <X509SerialNumber>243622496655097019779492309939457878922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http://uri.etsi.org/01903/v1.2.2#ProofOfCreation</xd:Identifier>
              <xd:Description>Creó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pMvokxhGnVopRM8hFw2QOoA6O+CghmnWpgkYA1Mzawo=</DigestValue>
    </Reference>
    <Reference Type="http://www.w3.org/2000/09/xmldsig#Object" URI="#idOfficeObject">
      <DigestMethod Algorithm="http://www.w3.org/2001/04/xmlenc#sha256"/>
      <DigestValue>I/0qyPnqK3232XPaM+UkgY+JwiWHlCBIwewALkJk3XU=</DigestValue>
    </Reference>
    <Reference Type="http://uri.etsi.org/01903#SignedProperties" URI="#idSignedProperties">
      <Transforms>
        <Transform Algorithm="http://www.w3.org/TR/2001/REC-xml-c14n-20010315"/>
      </Transforms>
      <DigestMethod Algorithm="http://www.w3.org/2001/04/xmlenc#sha256"/>
      <DigestValue>OY2wf9t8yOWMo9qVft+gvSt0wRzo+V8S3A2XwLWEAKA=</DigestValue>
    </Reference>
  </SignedInfo>
  <SignatureValue>7Slh7tjOX5JYKNLt5NrKQwcdwWwOP5jGqqcYCiyU/Ft+o6rW2YQfM7SU1yDjn0Knd9WDrFO7E+2B
YFPxxzhEcjt9t1grJu1qWASLPTy3Bw3hZ/4X1K4g8d28567goxhjRwaEZ9q9eHzMabKi2F8/BF5h
CpU5z3qi6LiTN2tOUKWsnlVOchq2ujbPomMU6P2ZOLTAw7hxYdCJ62mj+AeKqOp2TjXHGPyg+bvS
ElM4k3ty6dMJkWT7zGGyvTiX5ZfsRWQtqN3QxMm1a3DCGdErgab+sIVt7adR8f5bQHyzRgL2qXsc
T1UyVNjF1EYecLNekk/DXrklRgW+U1BilJsOuA==</SignatureValue>
  <KeyInfo>
    <X509Data>
      <X509Certificate>MIIIkjCCBnqgAwIBAgIQJnkc+vjYPZ9mcbPiRLIcGzANBgkqhkiG9w0BAQsFADCBgTEWMBQGA1UEBRMNUlVDODAwODAwOTktMDERMA8GA1UEAxMIVklUIFMuQS4xODA2BgNVBAsML1ByZXN0YWRvciBDdWFsaWZpY2FkbyBkZSBTZXJ2aWNpb3MgZGUgQ29uZmlhbnphMQ0wCwYDVQQKDARJQ1BQMQswCQYDVQQGEwJQWTAeFw0yNDA2MTgxNjIwNTBaFw0yNjA2MTgxNjIwNTBaMIG9MRYwFAYDVQQqDA1EQU5JRUwgQU5EUkVTMRcwFQYDVQQEDA5NT1JFTk8gQk9HQVJJTjESMBAGA1UEBRMJQ0kxMDEyODI1MSUwIwYDVQQDDBxEQU5JRUwgQU5EUkVTIE1PUkVOTyBCT0dBUklOMQswCQYDVQQLDAJGMjE1MDMGA1UECgwsQ0VSVElGSUNBRE8gQ1VBTElGSUNBRE8gREUgRklSTUEgRUxFQ1RST05JQ0ExCzAJBgNVBAYTAlBZMIIBIjANBgkqhkiG9w0BAQEFAAOCAQ8AMIIBCgKCAQEA//rdQFBmiphuFdpjE+yDXPZyfMmf7/ahqr777ZR4vCEQba0AlmEOa+6Bt7AUIk5HSFI0h8M0Q6T6o+oB5ugF9zF+UgP4vV+9Kd+kKsRy8jnyipr/hP2YuR2WgVEo6Tw99kT8JcXSpfPOkcTkjTWzxIWnUTW3k947G96TVdB6sdNIy2z9VTLaOukDc4yguF75Ntg1kM61QdZJ1z2AERD2zxXbx82i/6n/2zH9MSZhP0wUXt+rfDUIoIWYg2zLIwSZQ7+FXdAbTQus76oeYEDaMtKZesrrGQCO43/IYl9D7oHmuiQnktFeG+D5lADp3EMIztS63A/VB0WuI2p3hDfizwIDAQABo4IDxjCCA8IwDAYDVR0TAQH/BAIwADAOBgNVHQ8BAf8EBAMCBeAwLAYDVR0lAQH/BCIwIAYIKwYBBQUHAwQGCCsGAQUFBwMCBgorBgEEAYI3FAICMB0GA1UdDgQWBBQiH/8jkfP+GpiCXG3JaZGZkHa+XTAfBgNVHSMEGDAWgBS7ZRErZ+2GOCAcKGcZFARl6pGhszCCAesGA1UdIASCAeIwggHeMIIB2gYMKwYBBAGC2UoBAQEHMIIByDAxBggrBgEFBQcCARYlaHR0cHM6Ly93d3cuZWZpcm1hLmNvbS5weS9yZXBvc2l0b3JpbzCBzwYIKwYBBQUHAgIwgcIagb9DZXJ0aWZpY2FkbyBDdWFsaWZpY2FkbyBkZSBGaXJtYSBFbGVjdHLzbmljYSBUaXBvIEYyIChjbGF2ZXMgZW4gZGlzcG9zaXRpdm8gY3VhbGlmaWNhZG8pLCBzdWpldGEgYSBsYXMgY29uZGljaW9uZXMgZGUgdXNvIGV4cHVlc3RhcyBlbiBsYSBEZWNsYXJhY2nzbiBkZSBQcuFjdGljYXMgZGUgQ2VydGlmaWNhY2nzbiBkZSBWSVQgUy5BLjCBwAYIKwYBBQUHAgIwgbMagbBRdWFsaWZpZWQgY2VydGlmaWNhdGUgb2YgZWxlY3Ryb25pYyBzaWduYXR1cmUgdHlwZSBGMiAoa2V5cyBpbiBxdWFsaWZpZWQgZGV2aWNlKSwgc3ViZHVlZCB0byB0aGUgY29uZGl0aW9ucyBvZiB1c2Ugc2V0IGZvcnRoIGluIHRoZSBDZXJ0aWZpY2F0aW9uIFByYWN0aWNlIFN0YXRlbWVudCBvZiBWSVQgUy5BLjBPBgNVHREESDBGgRhEQU5JRUxNT1JFTk83NkBHTUFJTC5DT02kKjAoMSYwJAYDVQQNDB1GSVJNQSBFTEVDVFJPTklDQSBDVUFMSUZJQ0FEQTB3BggrBgEFBQcBAQRrMGkwKAYIKwYBBQUHMAGGHGh0dHBzOi8vd3d3LmVmaXJtYS5jb20ucHkvdmEwPQYIKwYBBQUHMAKGMWh0dHBzOi8vd3d3LmVmaXJtYS5jb20ucHkvcmVwb3NpdG9yaW8vZWZpcm1hMS5jcnQwewYDVR0fBHQwcjA3oDWgM4YxaHR0cHM6Ly93d3cuZWZpcm1hLmNvbS5weS9yZXBvc2l0b3Jpby9lZmlybWEyLmNybDA3oDWgM4YxaHR0cHM6Ly93d3cuZWZpcm1hLmNvbS5weS9yZXBvc2l0b3Jpby9lZmlybWEzLmNybDANBgkqhkiG9w0BAQsFAAOCAgEADvdeYgczMtoklHIKb0rsjbj4QLt9JxIYOgPuIM0kYCP/cEBqn1FJTCTsQfcTl6tCrVNMLqfiKFJ5fh5dAEpwQbtPqU1X+VBSGgwoeVZiUvD3TiB6E/O3HzkUaREmqyL3Bw1f6xTDkYTNaDFdetloD0xMd2lDMTlLL3BXOLh0FTDkqhjcPi1+rntMx/qfuD6Xr+eHb0DX4jNwCpkm53/DBhJaWQgqDbYfg/ghWFZZQEjzzMzl5hWctQ870Pnca5pMb+2cpyd259WAmLZDwp9+eKCRMBuxR5oKBlmBzUgtlQ6QUqByA/lT19a3rhx7CXuhJ6sLcMF7KOsMBnm+W9q0OpVf0IwjZBqB770T/25BBGRiOG+fsM9rp1iZucr4Wz24pAZidSeTRp6hJ0fVklVfRGLD2PMriwht5v8HlC2ipRqJGqW53POepdzNt+Qzg1D78/TWUmeskVQhgvFtKINZd2rJrQ4tECxS07873JaHDyigrdn9rQ59OpHgDPKwgjFCeLlS/Sb58r08LTXTZLuoTDTmDUFFyDn2C6R0GXvg4+lD+Sf3Xl09XK2Own156s+ygOWcAGa6EHw4k9Y+mWzI+SRhFizO6oVpWCiTRuxCQzxSWKSlq6hStGyX0bjjLIAAmitiZc/L1uWN4QRfbKqjPgp4uS58aNbQpSSBcnzvb1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lzLbaIzpG443ZAmlR8oaCgxFoLmp2QKXFIw9ML8wpds=</DigestValue>
      </Reference>
      <Reference URI="/xl/calcChain.xml?ContentType=application/vnd.openxmlformats-officedocument.spreadsheetml.calcChain+xml">
        <DigestMethod Algorithm="http://www.w3.org/2001/04/xmlenc#sha256"/>
        <DigestValue>3XZ5fz98eyyR7nlUzUtW0t01IY1TKca9CDBuCzRGTIg=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V36SKR7s6zN+dPfpLTn0XwD2z6Xatj2GPc8KgBimHdo=</DigestValue>
      </Reference>
      <Reference URI="/xl/drawings/drawing1.xml?ContentType=application/vnd.openxmlformats-officedocument.drawing+xml">
        <DigestMethod Algorithm="http://www.w3.org/2001/04/xmlenc#sha256"/>
        <DigestValue>8Si78NiSh5foaJildh7OKCSwHp3PWMm3H11mHq+hvS8=</DigestValue>
      </Reference>
      <Reference URI="/xl/drawings/drawing2.xml?ContentType=application/vnd.openxmlformats-officedocument.drawing+xml">
        <DigestMethod Algorithm="http://www.w3.org/2001/04/xmlenc#sha256"/>
        <DigestValue>rtdtsmroUke0nBhLJ7YHXvOu2L0jC2OgAVGxt8QcCeA=</DigestValue>
      </Reference>
      <Reference URI="/xl/drawings/drawing3.xml?ContentType=application/vnd.openxmlformats-officedocument.drawing+xml">
        <DigestMethod Algorithm="http://www.w3.org/2001/04/xmlenc#sha256"/>
        <DigestValue>5Hr89eLw1+EDqa1CZY3pjuidkXz1s6Ge6pr6/IvmJ8s=</DigestValue>
      </Reference>
      <Reference URI="/xl/drawings/drawing4.xml?ContentType=application/vnd.openxmlformats-officedocument.drawing+xml">
        <DigestMethod Algorithm="http://www.w3.org/2001/04/xmlenc#sha256"/>
        <DigestValue>avoFWrcXb3jyzgLcFGlg7v8se3JsSLswxNbhOoWcKmI=</DigestValue>
      </Reference>
      <Reference URI="/xl/drawings/drawing5.xml?ContentType=application/vnd.openxmlformats-officedocument.drawing+xml">
        <DigestMethod Algorithm="http://www.w3.org/2001/04/xmlenc#sha256"/>
        <DigestValue>kG8RxNkANGrrRH7G6fvmlzZM7PbDMH8FD/CK75xVDR0=</DigestValue>
      </Reference>
      <Reference URI="/xl/drawings/drawing6.xml?ContentType=application/vnd.openxmlformats-officedocument.drawing+xml">
        <DigestMethod Algorithm="http://www.w3.org/2001/04/xmlenc#sha256"/>
        <DigestValue>uDTPewonnKsLcixTmgi0vNaYypp0Oy6wEnLVvioiTBY=</DigestValue>
      </Reference>
      <Reference URI="/xl/media/image1.png?ContentType=image/png">
        <DigestMethod Algorithm="http://www.w3.org/2001/04/xmlenc#sha256"/>
        <DigestValue>gsWH99sp3UUz6MV59nFlnQ75GjEMleB3jPlQy7lOlJw=</DigestValue>
      </Reference>
      <Reference URI="/xl/media/image2.jpeg?ContentType=image/jpeg">
        <DigestMethod Algorithm="http://www.w3.org/2001/04/xmlenc#sha256"/>
        <DigestValue>LPPuVBC3Sfjf2kaKosbZ8ndC6S3NoFVnQGFGlyB7GfI=</DigestValue>
      </Reference>
      <Reference URI="/xl/media/image3.jpeg?ContentType=image/jpeg">
        <DigestMethod Algorithm="http://www.w3.org/2001/04/xmlenc#sha256"/>
        <DigestValue>VXnaYwfMdd5Z+X5zSY4WqB2iGMec0TG4jAhqUC1K2lQ=</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tqkArYr64kd5rx+KazVxgeMQTi8uuFNs2pmjM+CmqV0=</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nyXEq6HkSWVbKuqt8NwW1ry2ZXjGdSgNTy2s0ZAJc9E=</DigestValue>
      </Reference>
      <Reference URI="/xl/printerSettings/printerSettings6.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N3jjwqOOyoVgNx0F2aWbemPvTtealRsqlntwHOoM0zk=</DigestValue>
      </Reference>
      <Reference URI="/xl/styles.xml?ContentType=application/vnd.openxmlformats-officedocument.spreadsheetml.styles+xml">
        <DigestMethod Algorithm="http://www.w3.org/2001/04/xmlenc#sha256"/>
        <DigestValue>wR/PEimrNa9shtyw4EmSTSMwtA51sTjr+tRTDZkN/fo=</DigestValue>
      </Reference>
      <Reference URI="/xl/theme/theme1.xml?ContentType=application/vnd.openxmlformats-officedocument.theme+xml">
        <DigestMethod Algorithm="http://www.w3.org/2001/04/xmlenc#sha256"/>
        <DigestValue>cI0/HXUJqryaYoRwZC3vNBHtNesfR3Vou+AOm9g0lJo=</DigestValue>
      </Reference>
      <Reference URI="/xl/workbook.xml?ContentType=application/vnd.openxmlformats-officedocument.spreadsheetml.sheet.main+xml">
        <DigestMethod Algorithm="http://www.w3.org/2001/04/xmlenc#sha256"/>
        <DigestValue>kyIU1vzzn+SSu+goGEN8vUzF2l4Fv0VvGoYLMhNiPfQ=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8GKlLdInL2QRjK8f6lVFdQ6jnGET2MO39Zd+uuWgXI0=</DigestValue>
      </Reference>
      <Reference URI="/xl/worksheets/sheet1.xml?ContentType=application/vnd.openxmlformats-officedocument.spreadsheetml.worksheet+xml">
        <DigestMethod Algorithm="http://www.w3.org/2001/04/xmlenc#sha256"/>
        <DigestValue>lsaC8dazr4JspL76DZRsdYXveOGkevyfs5IDKGxKLnA=</DigestValue>
      </Reference>
      <Reference URI="/xl/worksheets/sheet2.xml?ContentType=application/vnd.openxmlformats-officedocument.spreadsheetml.worksheet+xml">
        <DigestMethod Algorithm="http://www.w3.org/2001/04/xmlenc#sha256"/>
        <DigestValue>C2ImCm9s+oVmdzscCQqmHkuistZNoebN7WWOk2arL7s=</DigestValue>
      </Reference>
      <Reference URI="/xl/worksheets/sheet3.xml?ContentType=application/vnd.openxmlformats-officedocument.spreadsheetml.worksheet+xml">
        <DigestMethod Algorithm="http://www.w3.org/2001/04/xmlenc#sha256"/>
        <DigestValue>k0a5af4ekEZHxuhXB6CLZWWosYab+azku/ox0BxhlsI=</DigestValue>
      </Reference>
      <Reference URI="/xl/worksheets/sheet4.xml?ContentType=application/vnd.openxmlformats-officedocument.spreadsheetml.worksheet+xml">
        <DigestMethod Algorithm="http://www.w3.org/2001/04/xmlenc#sha256"/>
        <DigestValue>xelS+hj4CadLzfzIuLJMR7N6M4sEzSZB/x3fAOoDEs0=</DigestValue>
      </Reference>
      <Reference URI="/xl/worksheets/sheet5.xml?ContentType=application/vnd.openxmlformats-officedocument.spreadsheetml.worksheet+xml">
        <DigestMethod Algorithm="http://www.w3.org/2001/04/xmlenc#sha256"/>
        <DigestValue>v4+/oxRI7+VjJPJKuoSH0ggFLWpqmjmrL8oOVuSTTMw=</DigestValue>
      </Reference>
      <Reference URI="/xl/worksheets/sheet6.xml?ContentType=application/vnd.openxmlformats-officedocument.spreadsheetml.worksheet+xml">
        <DigestMethod Algorithm="http://www.w3.org/2001/04/xmlenc#sha256"/>
        <DigestValue>k6khcN8PSR4YmW7gBY8dbtfRdaZPZUvNLghnF6XjZkw=</DigestValue>
      </Reference>
    </Manifest>
    <SignatureProperties>
      <SignatureProperty Id="idSignatureTime" Target="#idPackageSignature">
        <mdssi:SignatureTime xmlns:mdssi="http://schemas.openxmlformats.org/package/2006/digital-signature">
          <mdssi:Format>YYYY-MM-DDThh:mm:ssTZD</mdssi:Format>
          <mdssi:Value>2026-03-31T18:35:13Z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15.0</OfficeVersion>
          <ApplicationVersion>15.0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2026-03-31T18:35:13Z</xd:SigningTime>
          <xd:SigningCertificate>
            <xd:Cert>
              <xd:CertDigest>
                <DigestMethod Algorithm="http://www.w3.org/2001/04/xmlenc#sha256"/>
                <DigestValue>R9/FqdE73XvAsUwfnjwsnUgUkouKzMYWrKYWhgK2fhM=</DigestValue>
              </xd:CertDigest>
              <xd:IssuerSerial>
                <X509IssuerName>C=PY, O=ICPP, OU=Prestador Cualificado de Servicios de Confianza, CN=VIT S.A., SERIALNUMBER=RUC80080099-0</X509IssuerName>
                <X509SerialNumber>51139519551232749543753106017804753947</X509SerialNumber>
              </xd:IssuerSerial>
            </xd:Cert>
          </xd:SigningCertificate>
          <xd:SignaturePolicyIdentifier>
            <xd:SignaturePolicyImplied/>
          </xd:SignaturePolicyIdentifier>
        </xd:SignedSignatureProperties>
      </xd: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uBvzU58VGz92q4a5/A8q4mwXj56kjJQm6pYrZ3SYU9g=</DigestValue>
    </Reference>
    <Reference Type="http://www.w3.org/2000/09/xmldsig#Object" URI="#idOfficeObject">
      <DigestMethod Algorithm="http://www.w3.org/2001/04/xmlenc#sha256"/>
      <DigestValue>xAUYTy5HdGROavDuFwTLpwKO1LaOXIW64RGnfuEK3H8=</DigestValue>
    </Reference>
    <Reference Type="http://uri.etsi.org/01903#SignedProperties" URI="#idSignedProperties">
      <Transforms>
        <Transform Algorithm="http://www.w3.org/TR/2001/REC-xml-c14n-20010315"/>
      </Transforms>
      <DigestMethod Algorithm="http://www.w3.org/2001/04/xmlenc#sha256"/>
      <DigestValue>r60usLcKzdh0AGuANXnnU50d2J2HfRAGYl57qWHD8oU=</DigestValue>
    </Reference>
  </SignedInfo>
  <SignatureValue>TMe4zsonWn41XNV8SkNAnlOZRnEQdwc13lb74QmaOsiyaNBDxB7ngzJWpNDbt4iPlF064kwADnRo
9xCZEG1CusA/RBPiAPSDMcBzjuDE4UHEpysWbJCIodeMSScb0uv1q42DMKyQ+Sf13f7zMlDHRHtc
veoo5DQG+sXRaTKFzu43CYl+pGlFkYIdE+IHN2lg5IoU4rZdelTeBal1SHqOde35G1SwRe5SZ1VH
ANhWU3Dqfoq7vlfF1McEcw6NOCInu632k1b3rEf8o3zaJk1NLAVZMi2NiHuQSfuQUBhKh0EQbIkK
zyTk3UMRB7oADZIV4btiQBJO8yyXnlQnpLD2UQ==</SignatureValue>
  <KeyInfo>
    <X509Data>
      <X509Certificate>MIIIgDCCBmigAwIBAgIIfs5Esw6i80owDQYJKoZIhvcNAQELBQAwWjEaMBgGA1UEAwwRQ0EtRE9DVU1FTlRBIFMuQS4xFjAUBgNVBAUTDVJVQzgwMDUwMTcyLTExFzAVBgNVBAoMDkRPQ1VNRU5UQSBTLkEuMQswCQYDVQQGEwJQWTAeFw0yNDA1MTAxNDExMDBaFw0yNjA1MTAxNDExMDBaMIG3MSIwIAYDVQQDDBlKVUFOIE1BTlVFTCBST01FUk8gQkVSTkFMMRIwEAYDVQQFEwlDSTM3NzYzNTIxFDASBgNVBCoMC0pVQU4gTUFOVUVMMRYwFAYDVQQEDA1ST01FUk8gQkVSTkFMMQswCQYDVQQLDAJGMjE1MDMGA1UECgwsQ0VSVElGSUNBRE8gQ1VBTElGSUNBRE8gREUgRklSTUEgRUxFQ1RST05JQ0ExCzAJBgNVBAYTAlBZMIIBIjANBgkqhkiG9w0BAQEFAAOCAQ8AMIIBCgKCAQEAqFxw4R80EK6S2qdLJ5cidc6CnU3D/EBA2rXdJSaidJHfpDRKHGY2iZHLQuKfiaeChUKHfmkZu6W2dvkHECW6cVcR8g8CxyaIDEu2K8A2CXu2LmMWbSPwE621Pn/wyAPFwBPbk0wb4t/bf0atOnu1Fvk5LebMysSX8haOPpG/7RGkB3AamZPIRp7Kv2ls3ylv1rooD4ugKNo9FGL3pLSKdDutw1vcZUwbW420vwv4p4E0s43K6+qxjhD3Bxgjn+MIv01VfXBKz0RdAbBKmLCYXOfb/Q8mxijVuUVast04v3VYrcK0q0ZPt7YStK1lmv+/hVHuqYIRqtZ7rj5H9licUwIDAQABo4ID6jCCA+YwDAYDVR0TAQH/BAIwADAfBgNVHSMEGDAWgBShPYUrzdgslh85AgyfUztY2JULezCBlAYIKwYBBQUHAQEEgYcwgYQwVQYIKwYBBQUHMAKGSWh0dHBzOi8vd3d3LmRpZ2l0by5jb20ucHkvdXBsb2Fkcy9jZXJ0aWZpY2Fkby1kb2N1bWVudGEtc2EtMTUzNTExNzc3MS5jcnQwKwYIKwYBBQUHMAGGH2h0dHBzOi8vd3d3LmRpZ2l0by5jb20ucHkvb2NzcC8wTQYDVR0RBEYwRIEWam1yYmVybmFsMTcxQGdtYWlsLmNvb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EBMmbSmRG6cdB5Be707/yYCne41MA4GA1UdDwEB/wQEAwIF4DANBgkqhkiG9w0BAQsFAAOCAgEAXC7OGfEn+2rjak6yx0GHADf8iy24at5kC+OX+R1GDmCJid9CR+9jpcrYk2aZsYUuGJ3VHd6CjqS08U3ZzWEX93cyNPVjgKt+9/MNlFix9kI/UdiOWMlstYaulNBpAVsZOGkzB11pyJz+4y5YBtQ1rQxeA7uoA8eAGLylVUQw4sdAEKaZ3bfe52JpGPLSxAyivyPo4lYSV5B1MbS5ZihXWzTbDLF1jWftVTjeyNZ8vP+zfZLzmdkS00GTATbhmI3lIaysusmG3riLv937Hd7y8jwe/5ExKIgfbuuQ94T7BjlZwp5WXqaGeX0nSADstOIOR+BBO94bVH76Yoo/3ifzZNLqwsK8FTtTfeDa6t1NxMRjoMeVQCKF2MN1H3/S8i1z+VxwFRinqJvgpkMSqUKFS0jhE+cZHwhwhiXutExU4wV4ex4FuRoaphRN3zjGuXnUoPP5XQ1BwzK952il2OlE91gqwHRoEBOfuDanOj7vY+LopwEp3F0wlxZ8uDrBp/i/il+uufOEhpe41mK/uDHDr+rMsLiTyAqs9Qtox7WuqjEtj2cVCl0K2cU7K+RbbPoWv+og7h6DkN8YFnTP7vm0Kd/m0WWA0/GC5XRVtzOKEYIeBBiSbI5ivD3lCm3I2x9+YEyv+hmxTBRRfX7x2JRRWvOtjmmZCZUI6K2f7DuGel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lzLbaIzpG443ZAmlR8oaCgxFoLmp2QKXFIw9ML8wpds=</DigestValue>
      </Reference>
      <Reference URI="/xl/calcChain.xml?ContentType=application/vnd.openxmlformats-officedocument.spreadsheetml.calcChain+xml">
        <DigestMethod Algorithm="http://www.w3.org/2001/04/xmlenc#sha256"/>
        <DigestValue>3XZ5fz98eyyR7nlUzUtW0t01IY1TKca9CDBuCzRGTIg=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V36SKR7s6zN+dPfpLTn0XwD2z6Xatj2GPc8KgBimHdo=</DigestValue>
      </Reference>
      <Reference URI="/xl/drawings/drawing1.xml?ContentType=application/vnd.openxmlformats-officedocument.drawing+xml">
        <DigestMethod Algorithm="http://www.w3.org/2001/04/xmlenc#sha256"/>
        <DigestValue>8Si78NiSh5foaJildh7OKCSwHp3PWMm3H11mHq+hvS8=</DigestValue>
      </Reference>
      <Reference URI="/xl/drawings/drawing2.xml?ContentType=application/vnd.openxmlformats-officedocument.drawing+xml">
        <DigestMethod Algorithm="http://www.w3.org/2001/04/xmlenc#sha256"/>
        <DigestValue>rtdtsmroUke0nBhLJ7YHXvOu2L0jC2OgAVGxt8QcCeA=</DigestValue>
      </Reference>
      <Reference URI="/xl/drawings/drawing3.xml?ContentType=application/vnd.openxmlformats-officedocument.drawing+xml">
        <DigestMethod Algorithm="http://www.w3.org/2001/04/xmlenc#sha256"/>
        <DigestValue>5Hr89eLw1+EDqa1CZY3pjuidkXz1s6Ge6pr6/IvmJ8s=</DigestValue>
      </Reference>
      <Reference URI="/xl/drawings/drawing4.xml?ContentType=application/vnd.openxmlformats-officedocument.drawing+xml">
        <DigestMethod Algorithm="http://www.w3.org/2001/04/xmlenc#sha256"/>
        <DigestValue>avoFWrcXb3jyzgLcFGlg7v8se3JsSLswxNbhOoWcKmI=</DigestValue>
      </Reference>
      <Reference URI="/xl/drawings/drawing5.xml?ContentType=application/vnd.openxmlformats-officedocument.drawing+xml">
        <DigestMethod Algorithm="http://www.w3.org/2001/04/xmlenc#sha256"/>
        <DigestValue>kG8RxNkANGrrRH7G6fvmlzZM7PbDMH8FD/CK75xVDR0=</DigestValue>
      </Reference>
      <Reference URI="/xl/drawings/drawing6.xml?ContentType=application/vnd.openxmlformats-officedocument.drawing+xml">
        <DigestMethod Algorithm="http://www.w3.org/2001/04/xmlenc#sha256"/>
        <DigestValue>uDTPewonnKsLcixTmgi0vNaYypp0Oy6wEnLVvioiTBY=</DigestValue>
      </Reference>
      <Reference URI="/xl/media/image1.png?ContentType=image/png">
        <DigestMethod Algorithm="http://www.w3.org/2001/04/xmlenc#sha256"/>
        <DigestValue>gsWH99sp3UUz6MV59nFlnQ75GjEMleB3jPlQy7lOlJw=</DigestValue>
      </Reference>
      <Reference URI="/xl/media/image2.jpeg?ContentType=image/jpeg">
        <DigestMethod Algorithm="http://www.w3.org/2001/04/xmlenc#sha256"/>
        <DigestValue>LPPuVBC3Sfjf2kaKosbZ8ndC6S3NoFVnQGFGlyB7GfI=</DigestValue>
      </Reference>
      <Reference URI="/xl/media/image3.jpeg?ContentType=image/jpeg">
        <DigestMethod Algorithm="http://www.w3.org/2001/04/xmlenc#sha256"/>
        <DigestValue>VXnaYwfMdd5Z+X5zSY4WqB2iGMec0TG4jAhqUC1K2lQ=</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tqkArYr64kd5rx+KazVxgeMQTi8uuFNs2pmjM+CmqV0=</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nyXEq6HkSWVbKuqt8NwW1ry2ZXjGdSgNTy2s0ZAJc9E=</DigestValue>
      </Reference>
      <Reference URI="/xl/printerSettings/printerSettings6.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N3jjwqOOyoVgNx0F2aWbemPvTtealRsqlntwHOoM0zk=</DigestValue>
      </Reference>
      <Reference URI="/xl/styles.xml?ContentType=application/vnd.openxmlformats-officedocument.spreadsheetml.styles+xml">
        <DigestMethod Algorithm="http://www.w3.org/2001/04/xmlenc#sha256"/>
        <DigestValue>wR/PEimrNa9shtyw4EmSTSMwtA51sTjr+tRTDZkN/fo=</DigestValue>
      </Reference>
      <Reference URI="/xl/theme/theme1.xml?ContentType=application/vnd.openxmlformats-officedocument.theme+xml">
        <DigestMethod Algorithm="http://www.w3.org/2001/04/xmlenc#sha256"/>
        <DigestValue>cI0/HXUJqryaYoRwZC3vNBHtNesfR3Vou+AOm9g0lJo=</DigestValue>
      </Reference>
      <Reference URI="/xl/workbook.xml?ContentType=application/vnd.openxmlformats-officedocument.spreadsheetml.sheet.main+xml">
        <DigestMethod Algorithm="http://www.w3.org/2001/04/xmlenc#sha256"/>
        <DigestValue>kyIU1vzzn+SSu+goGEN8vUzF2l4Fv0VvGoYLMhNiPfQ=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8GKlLdInL2QRjK8f6lVFdQ6jnGET2MO39Zd+uuWgXI0=</DigestValue>
      </Reference>
      <Reference URI="/xl/worksheets/sheet1.xml?ContentType=application/vnd.openxmlformats-officedocument.spreadsheetml.worksheet+xml">
        <DigestMethod Algorithm="http://www.w3.org/2001/04/xmlenc#sha256"/>
        <DigestValue>lsaC8dazr4JspL76DZRsdYXveOGkevyfs5IDKGxKLnA=</DigestValue>
      </Reference>
      <Reference URI="/xl/worksheets/sheet2.xml?ContentType=application/vnd.openxmlformats-officedocument.spreadsheetml.worksheet+xml">
        <DigestMethod Algorithm="http://www.w3.org/2001/04/xmlenc#sha256"/>
        <DigestValue>C2ImCm9s+oVmdzscCQqmHkuistZNoebN7WWOk2arL7s=</DigestValue>
      </Reference>
      <Reference URI="/xl/worksheets/sheet3.xml?ContentType=application/vnd.openxmlformats-officedocument.spreadsheetml.worksheet+xml">
        <DigestMethod Algorithm="http://www.w3.org/2001/04/xmlenc#sha256"/>
        <DigestValue>k0a5af4ekEZHxuhXB6CLZWWosYab+azku/ox0BxhlsI=</DigestValue>
      </Reference>
      <Reference URI="/xl/worksheets/sheet4.xml?ContentType=application/vnd.openxmlformats-officedocument.spreadsheetml.worksheet+xml">
        <DigestMethod Algorithm="http://www.w3.org/2001/04/xmlenc#sha256"/>
        <DigestValue>xelS+hj4CadLzfzIuLJMR7N6M4sEzSZB/x3fAOoDEs0=</DigestValue>
      </Reference>
      <Reference URI="/xl/worksheets/sheet5.xml?ContentType=application/vnd.openxmlformats-officedocument.spreadsheetml.worksheet+xml">
        <DigestMethod Algorithm="http://www.w3.org/2001/04/xmlenc#sha256"/>
        <DigestValue>v4+/oxRI7+VjJPJKuoSH0ggFLWpqmjmrL8oOVuSTTMw=</DigestValue>
      </Reference>
      <Reference URI="/xl/worksheets/sheet6.xml?ContentType=application/vnd.openxmlformats-officedocument.spreadsheetml.worksheet+xml">
        <DigestMethod Algorithm="http://www.w3.org/2001/04/xmlenc#sha256"/>
        <DigestValue>k6khcN8PSR4YmW7gBY8dbtfRdaZPZUvNLghnF6XjZkw=</DigestValue>
      </Reference>
    </Manifest>
    <SignatureProperties>
      <SignatureProperty Id="idSignatureTime" Target="#idPackageSignature">
        <mdssi:SignatureTime xmlns:mdssi="http://schemas.openxmlformats.org/package/2006/digital-signature">
          <mdssi:Format>YYYY-MM-DDThh:mm:ssTZD</mdssi:Format>
          <mdssi:Value>2026-03-31T22:05:50Z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APROBACION</SignatureComments>
          <WindowsVersion>10.0</WindowsVersion>
          <OfficeVersion>16.0.19822/27</OfficeVersion>
          <ApplicationVersion>16.0.19822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2026-03-31T22:05:50Z</xd:SigningTime>
          <xd:SigningCertificate>
            <xd:Cert>
              <xd:CertDigest>
                <DigestMethod Algorithm="http://www.w3.org/2001/04/xmlenc#sha256"/>
                <DigestValue>VXNGF3quDYrhcIya/u7KdlADL1nDJD0b80tfsbg0gdA=</DigestValue>
              </xd:CertDigest>
              <xd:IssuerSerial>
                <X509IssuerName>C=PY, O=DOCUMENTA S.A., SERIALNUMBER=RUC80050172-1, CN=CA-DOCUMENTA S.A.</X509IssuerName>
                <X509SerialNumber>9137316229816709962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APROBACION</xd:CommitmentTypeQualifier>
            </xd:CommitmentTypeQualifiers>
          </xd:CommitmentTypeIndication>
        </xd:SignedDataObjectProperties>
      </xd:SignedProperties>
    </xd:QualifyingProperties>
  </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BJ5nwLPRGNo3jLGlE1sAkbFf9n2L3oUIwWE6vID6TzI=</DigestValue>
    </Reference>
    <Reference Type="http://www.w3.org/2000/09/xmldsig#Object" URI="#idOfficeObject">
      <DigestMethod Algorithm="http://www.w3.org/2001/04/xmlenc#sha256"/>
      <DigestValue>4Jbbc/QkzKVEtuuFY69oRRUMC4u+AVDp4ngblrbOBXc=</DigestValue>
    </Reference>
    <Reference Type="http://uri.etsi.org/01903#SignedProperties" URI="#idSignedProperties">
      <Transforms>
        <Transform Algorithm="http://www.w3.org/TR/2001/REC-xml-c14n-20010315"/>
      </Transforms>
      <DigestMethod Algorithm="http://www.w3.org/2001/04/xmlenc#sha256"/>
      <DigestValue>xaCZXeuNopSOEvD/fZCmOZe4p1WUb734DzIkphnjNWo=</DigestValue>
    </Reference>
  </SignedInfo>
  <SignatureValue>VzTZPb1YsoHbeut1XHvl6AzUY2IrFEDbRme/ZTerQuCHs8EPLKWBBgZRyxZSD8bLQWgcv5h/rW/8
DnvDnrrOSPfGvoVSHoGIHhWef7qP0NtRy9CQxNgZ6a2RENK5qNIvyF5nwKzrTMf7ZSXCPPKow7PZ
hyVnp0iV4t3UMZ4BcWhl5wxLzfwsKiP/aS4SOhuwOHa4QiNs6B+75htwZk/UCjO3EoUrjU7F+Vqr
U7acOFdt18wucI7d+gZJpS/kaRPa9L9jY96ZbYFSoEqdFKK4ncTd3CTAyDLIijbLwzyb6H9zKyH5
SvPZSsy7OVbiLqN2jT1SK6eOwo01yXpyZHvgDw==</SignatureValue>
  <KeyInfo>
    <X509Data>
      <X509Certificate>MIIIoTCCBomgAwIBAgIIc5nsqtvXJV0wDQYJKoZIhvcNAQELBQAwWjEaMBgGA1UEAwwRQ0EtRE9DVU1FTlRBIFMuQS4xFjAUBgNVBAUTDVJVQzgwMDUwMTcyLTExFzAVBgNVBAoMDkRPQ1VNRU5UQSBTLkEuMQswCQYDVQQGEwJQWTAeFw0yNTEwMDgxMTI3MDBaFw0yNzEwMDgxMTI3MDBaMIHXMTIwMAYDVQQDDClBUlNFTklPIE1JR1VFTCBBTkdFTCBSRUNBTERFIEVTVElHQVJSSUJJQTESMBAGA1UEBRMJQ0k0Mjc5NjUwMR0wGwYDVQQqDBRBUlNFTklPIE1JR1VFTCBBTkdFTDEdMBsGA1UEBAwUUkVDQUxERSBFU1RJR0FSUklCSUExCzAJBgNVBAsMAkYyMTUwMwYDVQQKDCxDRVJUSUZJQ0FETyBDVUFMSUZJQ0FETyBERSBGSVJNQSBFTEVDVFJPTklDQTELMAkGA1UEBhMCUFkwggEiMA0GCSqGSIb3DQEBAQUAA4IBDwAwggEKAoIBAQCj1VbfDjIkIbGxga/Thiz9/vy0SoqzUpILiCjX63JtThllCQnhA5lhMpCHYDIHZRn99lblRpthvyTx21+TD1499tkpxy3jPWu/CGORzqJOE0kEsyltL5vZGB4XdCoZrNhuMkL46gA33qwTjTbUD8KFt6m1ha55QlWmjWhp8ZaV1Y0pZEE1LdhwTdj3F4sNpk5NHAGdaMbDgwjCX9B9GZ+HBlmsr5ZLUZG3ATe3hAmP68K02t6VPr/dqM86Ts88VS1Zk0DbXGPzzARhi+w8zmOBnQ3f8GeE6bnVzgW/ITYxB8yUXXtv51ZIiyuhIkCPt7A4igcCjKNFozlzdME27Mc3AgMBAAGjggPrMIID5zAMBgNVHRMBAf8EAjAAMB8GA1UdIwQYMBaAFKE9hSvN2CyWHzkCDJ9TO1jYlQt7MIGUBggrBgEFBQcBAQSBhzCBhDBVBggrBgEFBQcwAoZJaHR0cHM6Ly93d3cuZGlnaXRvLmNvbS5weS91cGxvYWRzL2NlcnRpZmljYWRvLWRvY3VtZW50YS1zYS0xNTM1MTE3NzcxLmNydDArBggrBgEFBQcwAYYfaHR0cHM6Ly93d3cuZGlnaXRvLmNvbS5weS9vY3NwLzBOBgNVHREERzBFgRdhbXJlY2FsZGUyMDE2QGdtYWlsLmNvb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BZd19dVpBnRUCmHrdFg1w1WnR6BMA4GA1UdDwEB/wQEAwIF4DANBgkqhkiG9w0BAQsFAAOCAgEAbykJZmMiqwQoGs/MlEQEnxaYyuGuNwO43FZ5yHTlRbosM1xK2tpcvB9WNKOG+x6AbT51bP/NnW/h+10cqO8BAiWVYbdj58Zp9JyCr/4ZiwjaOT/YzfDRpzfwK/Z3rmKKTd+F7Re9BYaaEdYo+RepSy/kWxDPyo/roLZ3ojyAMn1b4Dvyu6pkg0GIWkPuc2y4vCgx3aOCbjtalUDxpGSqbwS9LRVMnS8w3GNpiBrbb4qM2Bgqpd8GoABk7TJ9/B9BQjXUX3DdOwXk9i+/9tUXmBv+2wQ9DWGEgDxMfmjYre/GWOpD/b18vNrXqUNuAuUO867BbBuUc33V5As2abg09VxjVT5dlrNS0Ng+21pvgilMB2/wvW42Ora06wjIXxwPaui1kXH2nxPlOdWql7P0IX7TQ552X3STlojLyJ2mEpt2uVsWk0plqaEDrCESnYn4mwHvkeCzgPhSJlJhqdFb4whPkuveDu6HQW7aPo0vmaDVzVLP92m0m6mer7e6LB/BzPwSOQuv7R7QKO1RjAVtNFNx/EL3MegdRxlUTouOOD9K87BGq/TLRWQlWKcTkuwNQNAOnPoXPCljvWkbHBaYl+3nL3VNd700aKGBTljcBISLFUaECNiMy1Z49o3Iaw1gxqrw6HSYtwN7W2H88DK7L6/IlVCApFhDGq5+LRLrwF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lzLbaIzpG443ZAmlR8oaCgxFoLmp2QKXFIw9ML8wpds=</DigestValue>
      </Reference>
      <Reference URI="/xl/calcChain.xml?ContentType=application/vnd.openxmlformats-officedocument.spreadsheetml.calcChain+xml">
        <DigestMethod Algorithm="http://www.w3.org/2001/04/xmlenc#sha256"/>
        <DigestValue>3XZ5fz98eyyR7nlUzUtW0t01IY1TKca9CDBuCzRGTIg=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V36SKR7s6zN+dPfpLTn0XwD2z6Xatj2GPc8KgBimHdo=</DigestValue>
      </Reference>
      <Reference URI="/xl/drawings/drawing1.xml?ContentType=application/vnd.openxmlformats-officedocument.drawing+xml">
        <DigestMethod Algorithm="http://www.w3.org/2001/04/xmlenc#sha256"/>
        <DigestValue>8Si78NiSh5foaJildh7OKCSwHp3PWMm3H11mHq+hvS8=</DigestValue>
      </Reference>
      <Reference URI="/xl/drawings/drawing2.xml?ContentType=application/vnd.openxmlformats-officedocument.drawing+xml">
        <DigestMethod Algorithm="http://www.w3.org/2001/04/xmlenc#sha256"/>
        <DigestValue>rtdtsmroUke0nBhLJ7YHXvOu2L0jC2OgAVGxt8QcCeA=</DigestValue>
      </Reference>
      <Reference URI="/xl/drawings/drawing3.xml?ContentType=application/vnd.openxmlformats-officedocument.drawing+xml">
        <DigestMethod Algorithm="http://www.w3.org/2001/04/xmlenc#sha256"/>
        <DigestValue>5Hr89eLw1+EDqa1CZY3pjuidkXz1s6Ge6pr6/IvmJ8s=</DigestValue>
      </Reference>
      <Reference URI="/xl/drawings/drawing4.xml?ContentType=application/vnd.openxmlformats-officedocument.drawing+xml">
        <DigestMethod Algorithm="http://www.w3.org/2001/04/xmlenc#sha256"/>
        <DigestValue>avoFWrcXb3jyzgLcFGlg7v8se3JsSLswxNbhOoWcKmI=</DigestValue>
      </Reference>
      <Reference URI="/xl/drawings/drawing5.xml?ContentType=application/vnd.openxmlformats-officedocument.drawing+xml">
        <DigestMethod Algorithm="http://www.w3.org/2001/04/xmlenc#sha256"/>
        <DigestValue>kG8RxNkANGrrRH7G6fvmlzZM7PbDMH8FD/CK75xVDR0=</DigestValue>
      </Reference>
      <Reference URI="/xl/drawings/drawing6.xml?ContentType=application/vnd.openxmlformats-officedocument.drawing+xml">
        <DigestMethod Algorithm="http://www.w3.org/2001/04/xmlenc#sha256"/>
        <DigestValue>uDTPewonnKsLcixTmgi0vNaYypp0Oy6wEnLVvioiTBY=</DigestValue>
      </Reference>
      <Reference URI="/xl/media/image1.png?ContentType=image/png">
        <DigestMethod Algorithm="http://www.w3.org/2001/04/xmlenc#sha256"/>
        <DigestValue>gsWH99sp3UUz6MV59nFlnQ75GjEMleB3jPlQy7lOlJw=</DigestValue>
      </Reference>
      <Reference URI="/xl/media/image2.jpeg?ContentType=image/jpeg">
        <DigestMethod Algorithm="http://www.w3.org/2001/04/xmlenc#sha256"/>
        <DigestValue>LPPuVBC3Sfjf2kaKosbZ8ndC6S3NoFVnQGFGlyB7GfI=</DigestValue>
      </Reference>
      <Reference URI="/xl/media/image3.jpeg?ContentType=image/jpeg">
        <DigestMethod Algorithm="http://www.w3.org/2001/04/xmlenc#sha256"/>
        <DigestValue>VXnaYwfMdd5Z+X5zSY4WqB2iGMec0TG4jAhqUC1K2lQ=</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tqkArYr64kd5rx+KazVxgeMQTi8uuFNs2pmjM+CmqV0=</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nyXEq6HkSWVbKuqt8NwW1ry2ZXjGdSgNTy2s0ZAJc9E=</DigestValue>
      </Reference>
      <Reference URI="/xl/printerSettings/printerSettings6.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N3jjwqOOyoVgNx0F2aWbemPvTtealRsqlntwHOoM0zk=</DigestValue>
      </Reference>
      <Reference URI="/xl/styles.xml?ContentType=application/vnd.openxmlformats-officedocument.spreadsheetml.styles+xml">
        <DigestMethod Algorithm="http://www.w3.org/2001/04/xmlenc#sha256"/>
        <DigestValue>wR/PEimrNa9shtyw4EmSTSMwtA51sTjr+tRTDZkN/fo=</DigestValue>
      </Reference>
      <Reference URI="/xl/theme/theme1.xml?ContentType=application/vnd.openxmlformats-officedocument.theme+xml">
        <DigestMethod Algorithm="http://www.w3.org/2001/04/xmlenc#sha256"/>
        <DigestValue>cI0/HXUJqryaYoRwZC3vNBHtNesfR3Vou+AOm9g0lJo=</DigestValue>
      </Reference>
      <Reference URI="/xl/workbook.xml?ContentType=application/vnd.openxmlformats-officedocument.spreadsheetml.sheet.main+xml">
        <DigestMethod Algorithm="http://www.w3.org/2001/04/xmlenc#sha256"/>
        <DigestValue>kyIU1vzzn+SSu+goGEN8vUzF2l4Fv0VvGoYLMhNiPfQ=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8GKlLdInL2QRjK8f6lVFdQ6jnGET2MO39Zd+uuWgXI0=</DigestValue>
      </Reference>
      <Reference URI="/xl/worksheets/sheet1.xml?ContentType=application/vnd.openxmlformats-officedocument.spreadsheetml.worksheet+xml">
        <DigestMethod Algorithm="http://www.w3.org/2001/04/xmlenc#sha256"/>
        <DigestValue>lsaC8dazr4JspL76DZRsdYXveOGkevyfs5IDKGxKLnA=</DigestValue>
      </Reference>
      <Reference URI="/xl/worksheets/sheet2.xml?ContentType=application/vnd.openxmlformats-officedocument.spreadsheetml.worksheet+xml">
        <DigestMethod Algorithm="http://www.w3.org/2001/04/xmlenc#sha256"/>
        <DigestValue>C2ImCm9s+oVmdzscCQqmHkuistZNoebN7WWOk2arL7s=</DigestValue>
      </Reference>
      <Reference URI="/xl/worksheets/sheet3.xml?ContentType=application/vnd.openxmlformats-officedocument.spreadsheetml.worksheet+xml">
        <DigestMethod Algorithm="http://www.w3.org/2001/04/xmlenc#sha256"/>
        <DigestValue>k0a5af4ekEZHxuhXB6CLZWWosYab+azku/ox0BxhlsI=</DigestValue>
      </Reference>
      <Reference URI="/xl/worksheets/sheet4.xml?ContentType=application/vnd.openxmlformats-officedocument.spreadsheetml.worksheet+xml">
        <DigestMethod Algorithm="http://www.w3.org/2001/04/xmlenc#sha256"/>
        <DigestValue>xelS+hj4CadLzfzIuLJMR7N6M4sEzSZB/x3fAOoDEs0=</DigestValue>
      </Reference>
      <Reference URI="/xl/worksheets/sheet5.xml?ContentType=application/vnd.openxmlformats-officedocument.spreadsheetml.worksheet+xml">
        <DigestMethod Algorithm="http://www.w3.org/2001/04/xmlenc#sha256"/>
        <DigestValue>v4+/oxRI7+VjJPJKuoSH0ggFLWpqmjmrL8oOVuSTTMw=</DigestValue>
      </Reference>
      <Reference URI="/xl/worksheets/sheet6.xml?ContentType=application/vnd.openxmlformats-officedocument.spreadsheetml.worksheet+xml">
        <DigestMethod Algorithm="http://www.w3.org/2001/04/xmlenc#sha256"/>
        <DigestValue>k6khcN8PSR4YmW7gBY8dbtfRdaZPZUvNLghnF6XjZkw=</DigestValue>
      </Reference>
    </Manifest>
    <SignatureProperties>
      <SignatureProperty Id="idSignatureTime" Target="#idPackageSignature">
        <mdssi:SignatureTime xmlns:mdssi="http://schemas.openxmlformats.org/package/2006/digital-signature">
          <mdssi:Format>YYYY-MM-DDThh:mm:ssTZD</mdssi:Format>
          <mdssi:Value>2026-03-31T19:21:11Z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AUDITOR EXTERNO</SignatureComments>
          <WindowsVersion>10.0</WindowsVersion>
          <OfficeVersion>16.0.19628/27</OfficeVersion>
          <ApplicationVersion>16.0.19628</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2026-03-31T19:21:11Z</xd:SigningTime>
          <xd:SigningCertificate>
            <xd:Cert>
              <xd:CertDigest>
                <DigestMethod Algorithm="http://www.w3.org/2001/04/xmlenc#sha256"/>
                <DigestValue>G7mRVnXrA3ttIynxPxLNH+sUWHesUOH9R2CmYOQjPT0=</DigestValue>
              </xd:CertDigest>
              <xd:IssuerSerial>
                <X509IssuerName>C=PY, O=DOCUMENTA S.A., SERIALNUMBER=RUC80050172-1, CN=CA-DOCUMENTA S.A.</X509IssuerName>
                <X509SerialNumber>8329949204375348573</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AUDITOR EXTERNO</xd:CommitmentTypeQualifier>
            </xd:CommitmentTypeQualifiers>
          </xd:CommitmentTypeIndication>
        </xd:SignedDataObject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CARATULA </vt:lpstr>
      <vt:lpstr>Balance General</vt:lpstr>
      <vt:lpstr>Estado de Resultados</vt:lpstr>
      <vt:lpstr>Variación PN</vt:lpstr>
      <vt:lpstr>Flujo de Efectivo</vt:lpstr>
      <vt:lpstr>Notas a los EEFF</vt:lpstr>
      <vt:lpstr>'Notas a los EEFF'!Área_de_impresión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Diario</dc:creator>
  <cp:lastModifiedBy>Dora Busto de Arzamendia</cp:lastModifiedBy>
  <cp:lastPrinted>2022-03-23T14:26:34Z</cp:lastPrinted>
  <dcterms:created xsi:type="dcterms:W3CDTF">2020-08-05T19:03:26Z</dcterms:created>
  <dcterms:modified xsi:type="dcterms:W3CDTF">2026-03-31T13:27:44Z</dcterms:modified>
  <cp:contentStatus/>
</cp:coreProperties>
</file>